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showInkAnnotation="0" autoCompressPictures="0"/>
  <xr:revisionPtr revIDLastSave="0" documentId="11_E04D4912E3A3B530773D73DDD3C1556DF6DAF31B" xr6:coauthVersionLast="47" xr6:coauthVersionMax="47" xr10:uidLastSave="{00000000-0000-0000-0000-000000000000}"/>
  <bookViews>
    <workbookView xWindow="160" yWindow="-20" windowWidth="30640" windowHeight="20360" activeTab="2" xr2:uid="{00000000-000D-0000-FFFF-FFFF00000000}"/>
  </bookViews>
  <sheets>
    <sheet name="1-D Stack" sheetId="1" r:id="rId1"/>
    <sheet name="Chart Data" sheetId="2" r:id="rId2"/>
    <sheet name="License Agreement" sheetId="3" r:id="rId3"/>
  </sheet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8" i="1" l="1"/>
  <c r="R24" i="1"/>
  <c r="F13" i="1"/>
  <c r="K13" i="1"/>
  <c r="L13" i="1"/>
  <c r="L18" i="1"/>
  <c r="F4" i="1"/>
  <c r="K4" i="1"/>
  <c r="L4" i="1"/>
  <c r="F5" i="1"/>
  <c r="K5" i="1"/>
  <c r="L5" i="1"/>
  <c r="F6" i="1"/>
  <c r="K6" i="1"/>
  <c r="L6" i="1"/>
  <c r="F7" i="1"/>
  <c r="K7" i="1"/>
  <c r="L7" i="1"/>
  <c r="F8" i="1"/>
  <c r="K8" i="1"/>
  <c r="L8" i="1"/>
  <c r="F9" i="1"/>
  <c r="K9" i="1"/>
  <c r="L9" i="1"/>
  <c r="F10" i="1"/>
  <c r="K10" i="1"/>
  <c r="L10" i="1"/>
  <c r="F11" i="1"/>
  <c r="K11" i="1"/>
  <c r="L11" i="1"/>
  <c r="F12" i="1"/>
  <c r="K12" i="1"/>
  <c r="L12" i="1"/>
  <c r="L14" i="1"/>
  <c r="L15" i="1"/>
  <c r="L16" i="1"/>
  <c r="L17" i="1"/>
  <c r="L19" i="1"/>
  <c r="L20" i="1"/>
  <c r="L21" i="1"/>
  <c r="L22" i="1"/>
  <c r="L23" i="1"/>
  <c r="L24" i="1"/>
  <c r="L25" i="1"/>
  <c r="L26" i="1"/>
  <c r="L27" i="1"/>
  <c r="L28" i="1"/>
  <c r="R25" i="1"/>
  <c r="C40" i="1"/>
  <c r="D40" i="1"/>
  <c r="C41" i="1"/>
  <c r="D41" i="1"/>
  <c r="D42" i="1"/>
  <c r="E42" i="1"/>
  <c r="G42" i="1"/>
  <c r="I42" i="1"/>
  <c r="F42" i="1"/>
  <c r="R28" i="1"/>
  <c r="S18" i="1"/>
  <c r="S19" i="1"/>
  <c r="C47" i="1"/>
  <c r="C46" i="1"/>
  <c r="S22" i="1"/>
  <c r="R18" i="1"/>
  <c r="G13" i="1"/>
  <c r="G18" i="1"/>
  <c r="G4" i="1"/>
  <c r="G5" i="1"/>
  <c r="G6" i="1"/>
  <c r="G7" i="1"/>
  <c r="G8" i="1"/>
  <c r="G9" i="1"/>
  <c r="G10" i="1"/>
  <c r="G11" i="1"/>
  <c r="G12" i="1"/>
  <c r="G14" i="1"/>
  <c r="G15" i="1"/>
  <c r="G16" i="1"/>
  <c r="G17" i="1"/>
  <c r="G19" i="1"/>
  <c r="G20" i="1"/>
  <c r="G21" i="1"/>
  <c r="G22" i="1"/>
  <c r="G23" i="1"/>
  <c r="G24" i="1"/>
  <c r="G25" i="1"/>
  <c r="G26" i="1"/>
  <c r="G27" i="1"/>
  <c r="G28" i="1"/>
  <c r="R19" i="1"/>
  <c r="C35" i="1"/>
  <c r="C34" i="1"/>
  <c r="R22" i="1"/>
  <c r="F14" i="1"/>
  <c r="F15" i="1"/>
  <c r="F16" i="1"/>
  <c r="F17" i="1"/>
  <c r="F18" i="1"/>
  <c r="F19" i="1"/>
  <c r="F20" i="1"/>
  <c r="F21" i="1"/>
  <c r="F22" i="1"/>
  <c r="F23" i="1"/>
  <c r="F24" i="1"/>
  <c r="F25" i="1"/>
  <c r="F26" i="1"/>
  <c r="F27" i="1"/>
  <c r="F28" i="1"/>
  <c r="K14" i="1"/>
  <c r="K15" i="1"/>
  <c r="K16" i="1"/>
  <c r="K17" i="1"/>
  <c r="K18" i="1"/>
  <c r="K19" i="1"/>
  <c r="K20" i="1"/>
  <c r="K21" i="1"/>
  <c r="K22" i="1"/>
  <c r="K23" i="1"/>
  <c r="K24" i="1"/>
  <c r="K25" i="1"/>
  <c r="K26" i="1"/>
  <c r="K27" i="1"/>
  <c r="K28" i="1"/>
  <c r="D46" i="1"/>
  <c r="D47" i="1"/>
  <c r="D48" i="1"/>
  <c r="F48" i="1"/>
  <c r="F41" i="1"/>
  <c r="G41" i="1"/>
  <c r="E41" i="1"/>
  <c r="F40" i="1"/>
  <c r="G40" i="1"/>
  <c r="E40" i="1"/>
  <c r="R26" i="1"/>
  <c r="S21" i="1"/>
  <c r="S20" i="1"/>
  <c r="R27" i="1"/>
  <c r="R21" i="1"/>
  <c r="I50" i="1"/>
  <c r="D34" i="1"/>
  <c r="F34" i="1"/>
  <c r="D35" i="1"/>
  <c r="D36" i="1"/>
  <c r="E36" i="1"/>
  <c r="G36" i="1"/>
  <c r="I36" i="1"/>
  <c r="E48" i="1"/>
  <c r="G48" i="1"/>
  <c r="I48" i="1"/>
  <c r="F47" i="1"/>
  <c r="G47" i="1"/>
  <c r="F46" i="1"/>
  <c r="G46" i="1"/>
  <c r="F35" i="1"/>
  <c r="E47" i="1"/>
  <c r="E46" i="1"/>
  <c r="F36" i="1"/>
  <c r="G35" i="1"/>
  <c r="E35" i="1"/>
  <c r="S7" i="1"/>
  <c r="S6" i="1"/>
  <c r="R20" i="1"/>
  <c r="R16" i="1"/>
  <c r="R15" i="1"/>
  <c r="G34" i="1"/>
  <c r="E34" i="1"/>
  <c r="J14" i="2"/>
  <c r="J15" i="2"/>
  <c r="J27" i="2"/>
  <c r="J11" i="2"/>
  <c r="J51" i="2"/>
  <c r="J53" i="2"/>
  <c r="J52" i="2"/>
  <c r="J50" i="2"/>
  <c r="J9" i="2"/>
  <c r="J29" i="2"/>
  <c r="J18" i="2"/>
  <c r="J3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9" i="2"/>
  <c r="L9" i="2"/>
  <c r="L29" i="2"/>
  <c r="J41" i="2"/>
  <c r="L11" i="2"/>
  <c r="G9" i="2"/>
  <c r="K9" i="2"/>
  <c r="K29" i="2"/>
  <c r="J40" i="2"/>
  <c r="K11"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K19" i="2"/>
  <c r="K18" i="2"/>
  <c r="K24" i="2"/>
  <c r="L19" i="2"/>
  <c r="L18" i="2"/>
  <c r="L24" i="2"/>
  <c r="K22" i="2"/>
  <c r="K23" i="2"/>
  <c r="L22" i="2"/>
  <c r="L23" i="2"/>
  <c r="J19" i="2"/>
  <c r="J24" i="2"/>
  <c r="J22" i="2"/>
  <c r="J23" i="2"/>
  <c r="L35" i="2"/>
  <c r="L34" i="2"/>
  <c r="K35" i="2"/>
  <c r="K34" i="2"/>
  <c r="K47"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K46" i="2"/>
  <c r="J46" i="2"/>
  <c r="E3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9"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10" i="2"/>
  <c r="C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 Wittwer</author>
  </authors>
  <commentList>
    <comment ref="B3" authorId="0" shapeId="0" xr:uid="{00000000-0006-0000-0000-000001000000}">
      <text>
        <r>
          <rPr>
            <sz val="8"/>
            <color indexed="81"/>
            <rFont val="Tahoma"/>
          </rPr>
          <t>Dimension Name</t>
        </r>
      </text>
    </comment>
    <comment ref="C3" authorId="0" shapeId="0" xr:uid="{00000000-0006-0000-0000-000002000000}">
      <text>
        <r>
          <rPr>
            <b/>
            <sz val="8"/>
            <color indexed="81"/>
            <rFont val="Tahoma"/>
            <family val="2"/>
          </rPr>
          <t>Nominal Dimension Value</t>
        </r>
        <r>
          <rPr>
            <sz val="8"/>
            <color indexed="81"/>
            <rFont val="Tahoma"/>
          </rPr>
          <t xml:space="preserve">
(Positive or Negative - depending on loop equation)</t>
        </r>
      </text>
    </comment>
    <comment ref="D3" authorId="0" shapeId="0" xr:uid="{00000000-0006-0000-0000-000003000000}">
      <text>
        <r>
          <rPr>
            <b/>
            <sz val="8"/>
            <color indexed="81"/>
            <rFont val="Tahoma"/>
            <family val="2"/>
          </rPr>
          <t>Symmetric Bilateral Tolerance</t>
        </r>
        <r>
          <rPr>
            <sz val="8"/>
            <color indexed="81"/>
            <rFont val="Tahoma"/>
          </rPr>
          <t xml:space="preserve">
(Always Positive)</t>
        </r>
      </text>
    </comment>
    <comment ref="E3" authorId="0" shapeId="0" xr:uid="{00000000-0006-0000-0000-000004000000}">
      <text>
        <r>
          <rPr>
            <b/>
            <sz val="8"/>
            <color indexed="81"/>
            <rFont val="Tahoma"/>
          </rPr>
          <t xml:space="preserve">Tolerance Distribution
</t>
        </r>
        <r>
          <rPr>
            <sz val="8"/>
            <color indexed="81"/>
            <rFont val="Tahoma"/>
            <family val="2"/>
          </rPr>
          <t>Uniform: u or U
Normal: n or N</t>
        </r>
      </text>
    </comment>
    <comment ref="Q6" authorId="0" shapeId="0" xr:uid="{00000000-0006-0000-0000-000005000000}">
      <text>
        <r>
          <rPr>
            <sz val="8"/>
            <color indexed="81"/>
            <rFont val="Tahoma"/>
          </rPr>
          <t>Upper Control Limit</t>
        </r>
      </text>
    </comment>
    <comment ref="Q7" authorId="0" shapeId="0" xr:uid="{00000000-0006-0000-0000-000006000000}">
      <text>
        <r>
          <rPr>
            <sz val="8"/>
            <color indexed="81"/>
            <rFont val="Tahoma"/>
          </rPr>
          <t>Lower Control Limit</t>
        </r>
      </text>
    </comment>
    <comment ref="I32" authorId="0" shapeId="0" xr:uid="{00000000-0006-0000-0000-000007000000}">
      <text>
        <r>
          <rPr>
            <sz val="8"/>
            <color indexed="81"/>
            <rFont val="Tahoma"/>
          </rPr>
          <t>Sigma-Level that would give an equivalent 2-SIDED symmetric distribution</t>
        </r>
      </text>
    </comment>
    <comment ref="B34" authorId="0" shapeId="0" xr:uid="{00000000-0006-0000-0000-000008000000}">
      <text>
        <r>
          <rPr>
            <sz val="8"/>
            <color indexed="81"/>
            <rFont val="Tahoma"/>
          </rPr>
          <t>Above Upper Control Limit</t>
        </r>
      </text>
    </comment>
    <comment ref="B35" authorId="0" shapeId="0" xr:uid="{00000000-0006-0000-0000-000009000000}">
      <text>
        <r>
          <rPr>
            <sz val="8"/>
            <color indexed="81"/>
            <rFont val="Tahoma"/>
          </rPr>
          <t>Below Lower Control Limit</t>
        </r>
      </text>
    </comment>
    <comment ref="B36" authorId="0" shapeId="0" xr:uid="{00000000-0006-0000-0000-00000A000000}">
      <text>
        <r>
          <rPr>
            <sz val="8"/>
            <color indexed="81"/>
            <rFont val="Tahoma"/>
          </rPr>
          <t>Between Control Limits</t>
        </r>
      </text>
    </comment>
    <comment ref="I38" authorId="0" shapeId="0" xr:uid="{00000000-0006-0000-0000-00000B000000}">
      <text>
        <r>
          <rPr>
            <sz val="8"/>
            <color indexed="81"/>
            <rFont val="Tahoma"/>
          </rPr>
          <t>Sigma-Level that would give an equivalent 2-SIDED symmetric distribution</t>
        </r>
      </text>
    </comment>
    <comment ref="B40" authorId="0" shapeId="0" xr:uid="{00000000-0006-0000-0000-00000C000000}">
      <text>
        <r>
          <rPr>
            <sz val="8"/>
            <color indexed="81"/>
            <rFont val="Tahoma"/>
          </rPr>
          <t>Above Upper Control Limit</t>
        </r>
      </text>
    </comment>
    <comment ref="B41" authorId="0" shapeId="0" xr:uid="{00000000-0006-0000-0000-00000D000000}">
      <text>
        <r>
          <rPr>
            <sz val="8"/>
            <color indexed="81"/>
            <rFont val="Tahoma"/>
          </rPr>
          <t>Below Lower Control Limit</t>
        </r>
      </text>
    </comment>
    <comment ref="B42" authorId="0" shapeId="0" xr:uid="{00000000-0006-0000-0000-00000E000000}">
      <text>
        <r>
          <rPr>
            <sz val="8"/>
            <color indexed="81"/>
            <rFont val="Tahoma"/>
          </rPr>
          <t>Between Control Limits</t>
        </r>
      </text>
    </comment>
    <comment ref="I44" authorId="0" shapeId="0" xr:uid="{00000000-0006-0000-0000-00000F000000}">
      <text>
        <r>
          <rPr>
            <sz val="8"/>
            <color indexed="81"/>
            <rFont val="Tahoma"/>
          </rPr>
          <t>Sigma-Level that would give an equivalent 2-SIDED symmetric distribution</t>
        </r>
      </text>
    </comment>
    <comment ref="B46" authorId="0" shapeId="0" xr:uid="{00000000-0006-0000-0000-000010000000}">
      <text>
        <r>
          <rPr>
            <sz val="8"/>
            <color indexed="81"/>
            <rFont val="Tahoma"/>
          </rPr>
          <t>Above Upper Control Limit</t>
        </r>
      </text>
    </comment>
    <comment ref="B47" authorId="0" shapeId="0" xr:uid="{00000000-0006-0000-0000-000011000000}">
      <text>
        <r>
          <rPr>
            <sz val="8"/>
            <color indexed="81"/>
            <rFont val="Tahoma"/>
          </rPr>
          <t>Below Lower Control Limit</t>
        </r>
      </text>
    </comment>
    <comment ref="B48" authorId="0" shapeId="0" xr:uid="{00000000-0006-0000-0000-000012000000}">
      <text>
        <r>
          <rPr>
            <sz val="8"/>
            <color indexed="81"/>
            <rFont val="Tahoma"/>
          </rPr>
          <t>Between Control Limits</t>
        </r>
      </text>
    </comment>
  </commentList>
</comments>
</file>

<file path=xl/sharedStrings.xml><?xml version="1.0" encoding="utf-8"?>
<sst xmlns="http://schemas.openxmlformats.org/spreadsheetml/2006/main" count="244" uniqueCount="163">
  <si>
    <t>Website: http://adcats.et.byu.edu</t>
  </si>
  <si>
    <t>Email: chasek@byu.edu</t>
  </si>
  <si>
    <t>Voice: (801) 378-6541</t>
  </si>
  <si>
    <t>Fax:    (801) 378-5037</t>
  </si>
  <si>
    <t>Signature  ___________________________________________  Date_____________</t>
  </si>
  <si>
    <t>Registration</t>
  </si>
  <si>
    <t>Use this form to register this software if not already done on the ADCATS website http://adcats.et.byu.edu</t>
  </si>
  <si>
    <t>Software Name: cats1D.xls               Version: 1.0</t>
  </si>
  <si>
    <t>Name</t>
  </si>
  <si>
    <t>Nominal</t>
  </si>
  <si>
    <t>Distribution</t>
  </si>
  <si>
    <t>Assembly Specifications</t>
  </si>
  <si>
    <t>A</t>
  </si>
  <si>
    <t>B</t>
  </si>
  <si>
    <t>U.L.</t>
  </si>
  <si>
    <t>C</t>
  </si>
  <si>
    <t>L.L.</t>
  </si>
  <si>
    <t>D</t>
  </si>
  <si>
    <t>E</t>
  </si>
  <si>
    <t>F</t>
  </si>
  <si>
    <t>G</t>
  </si>
  <si>
    <t>H</t>
  </si>
  <si>
    <t>J</t>
  </si>
  <si>
    <t>K</t>
  </si>
  <si>
    <t>Mean</t>
  </si>
  <si>
    <t>Data</t>
  </si>
  <si>
    <t>Stack</t>
  </si>
  <si>
    <t>Specified</t>
  </si>
  <si>
    <t>Limits</t>
  </si>
  <si>
    <t>n-Sigma</t>
  </si>
  <si>
    <t>Six Sigma</t>
  </si>
  <si>
    <t>Z</t>
  </si>
  <si>
    <t>% Rej</t>
  </si>
  <si>
    <t>Rejects</t>
  </si>
  <si>
    <t>% Yield</t>
  </si>
  <si>
    <t>Yield</t>
  </si>
  <si>
    <t>(x.xxxx%)</t>
  </si>
  <si>
    <t>PPM</t>
  </si>
  <si>
    <t>Total</t>
  </si>
  <si>
    <t>N</t>
  </si>
  <si>
    <t>U</t>
  </si>
  <si>
    <t>Dimensions &amp; Tolerances</t>
  </si>
  <si>
    <t>- - -</t>
  </si>
  <si>
    <t>Cp</t>
  </si>
  <si>
    <t>k</t>
  </si>
  <si>
    <t>Cpk</t>
  </si>
  <si>
    <t>Stack-Up Report</t>
  </si>
  <si>
    <t>Assembly Quality Report</t>
  </si>
  <si>
    <r>
      <t>s</t>
    </r>
    <r>
      <rPr>
        <b/>
        <vertAlign val="subscript"/>
        <sz val="12"/>
        <rFont val="Arial"/>
        <family val="2"/>
        <charset val="204"/>
      </rPr>
      <t>i</t>
    </r>
  </si>
  <si>
    <t>Graph Limits</t>
  </si>
  <si>
    <t>min</t>
  </si>
  <si>
    <t>max</t>
  </si>
  <si>
    <t>y</t>
  </si>
  <si>
    <t>Standard Deviation</t>
  </si>
  <si>
    <t>x</t>
  </si>
  <si>
    <t>s</t>
  </si>
  <si>
    <t>f(x)</t>
  </si>
  <si>
    <t>Standard Normal</t>
  </si>
  <si>
    <t>Integral</t>
  </si>
  <si>
    <t>Orig Histogram</t>
  </si>
  <si>
    <t>Mean Shift</t>
  </si>
  <si>
    <t>Measured  x</t>
  </si>
  <si>
    <t>Inputs</t>
  </si>
  <si>
    <t>Outputs</t>
  </si>
  <si>
    <t>Predicted Yield and Rejects - Measured Data</t>
  </si>
  <si>
    <t>Predicted Mean</t>
  </si>
  <si>
    <t>ZUL</t>
  </si>
  <si>
    <t>ZLL</t>
  </si>
  <si>
    <t>Report</t>
  </si>
  <si>
    <t>Worst-Case (WC)</t>
  </si>
  <si>
    <t>Statistical (RSS)</t>
  </si>
  <si>
    <t>U=Uniform</t>
  </si>
  <si>
    <t>N=Normal</t>
  </si>
  <si>
    <t>Predicted Yield and Rejects - Tolerance Data (RSS)</t>
  </si>
  <si>
    <t>f(Z -Zmean)</t>
  </si>
  <si>
    <t>f(Z)</t>
  </si>
  <si>
    <t>mean</t>
  </si>
  <si>
    <t>UL</t>
  </si>
  <si>
    <t>LL</t>
  </si>
  <si>
    <t>Xmeas</t>
  </si>
  <si>
    <t>ZU</t>
  </si>
  <si>
    <t>ZL</t>
  </si>
  <si>
    <t>6 Sigma</t>
  </si>
  <si>
    <t>X</t>
  </si>
  <si>
    <r>
      <t>s</t>
    </r>
    <r>
      <rPr>
        <sz val="10"/>
        <rFont val="Helvetica"/>
      </rPr>
      <t>xmeas</t>
    </r>
  </si>
  <si>
    <t>Range of X</t>
  </si>
  <si>
    <r>
      <t xml:space="preserve">vs </t>
    </r>
    <r>
      <rPr>
        <b/>
        <sz val="14"/>
        <rFont val="Symbol"/>
      </rPr>
      <t>s</t>
    </r>
    <r>
      <rPr>
        <b/>
        <sz val="10"/>
        <rFont val="Helvetica"/>
      </rPr>
      <t>x</t>
    </r>
  </si>
  <si>
    <r>
      <t>F</t>
    </r>
    <r>
      <rPr>
        <b/>
        <sz val="10"/>
        <rFont val="Helvetica"/>
      </rPr>
      <t>(Z)</t>
    </r>
  </si>
  <si>
    <t>Modified Standard Normal</t>
  </si>
  <si>
    <t>Max Zeq</t>
  </si>
  <si>
    <t>Check:</t>
  </si>
  <si>
    <r>
      <t>s</t>
    </r>
    <r>
      <rPr>
        <sz val="10"/>
        <rFont val="Helvetica"/>
      </rPr>
      <t>x plot</t>
    </r>
  </si>
  <si>
    <t>from:</t>
  </si>
  <si>
    <t>Modified Standard Normal Plot Check</t>
  </si>
  <si>
    <t>UL &amp; LL Limits on Plot</t>
  </si>
  <si>
    <t>Plot Controls</t>
  </si>
  <si>
    <t xml:space="preserve">    X Distr Plot</t>
  </si>
  <si>
    <t xml:space="preserve">    Xmeas Plot</t>
  </si>
  <si>
    <t xml:space="preserve">    6s Plot</t>
  </si>
  <si>
    <t>Design Limits</t>
  </si>
  <si>
    <t>Z Limits</t>
  </si>
  <si>
    <r>
      <t xml:space="preserve">in </t>
    </r>
    <r>
      <rPr>
        <b/>
        <sz val="14"/>
        <rFont val="Symbol"/>
      </rPr>
      <t>s</t>
    </r>
    <r>
      <rPr>
        <b/>
        <sz val="10"/>
        <rFont val="Helvetica"/>
      </rPr>
      <t>x units</t>
    </r>
  </si>
  <si>
    <t>Process Capability Indices</t>
  </si>
  <si>
    <t>( P=plot</t>
  </si>
  <si>
    <t>O=Omit )</t>
  </si>
  <si>
    <r>
      <t>X</t>
    </r>
    <r>
      <rPr>
        <b/>
        <vertAlign val="subscript"/>
        <sz val="12"/>
        <rFont val="Helvetica"/>
      </rPr>
      <t>mean</t>
    </r>
  </si>
  <si>
    <r>
      <t>T</t>
    </r>
    <r>
      <rPr>
        <b/>
        <vertAlign val="subscript"/>
        <sz val="12"/>
        <rFont val="Helvetica"/>
      </rPr>
      <t>asm</t>
    </r>
  </si>
  <si>
    <r>
      <t>Six Sigma (6</t>
    </r>
    <r>
      <rPr>
        <b/>
        <sz val="12"/>
        <rFont val="Symbol"/>
      </rPr>
      <t>s</t>
    </r>
    <r>
      <rPr>
        <b/>
        <sz val="12"/>
        <rFont val="Helvetica"/>
      </rPr>
      <t>)</t>
    </r>
  </si>
  <si>
    <t>Meas</t>
  </si>
  <si>
    <t>Predicted</t>
  </si>
  <si>
    <r>
      <t>± T</t>
    </r>
    <r>
      <rPr>
        <b/>
        <vertAlign val="subscript"/>
        <sz val="12"/>
        <rFont val="Helvetica"/>
      </rPr>
      <t>i</t>
    </r>
  </si>
  <si>
    <r>
      <t>Predicted Yield and Rejects - Tolerance Data  (6</t>
    </r>
    <r>
      <rPr>
        <b/>
        <sz val="12"/>
        <rFont val="Symbol"/>
      </rPr>
      <t>s</t>
    </r>
    <r>
      <rPr>
        <b/>
        <sz val="12"/>
        <rFont val="Helvetica"/>
      </rPr>
      <t>)</t>
    </r>
  </si>
  <si>
    <t>CATS 1-D    One-Dimensional Assembly Tolerance Stack-Up</t>
  </si>
  <si>
    <r>
      <t>s</t>
    </r>
    <r>
      <rPr>
        <b/>
        <vertAlign val="subscript"/>
        <sz val="14"/>
        <rFont val="Helvetica"/>
      </rPr>
      <t>asm</t>
    </r>
  </si>
  <si>
    <t>(1=plot, 0=omit)</t>
  </si>
  <si>
    <t>P</t>
  </si>
  <si>
    <r>
      <t>6</t>
    </r>
    <r>
      <rPr>
        <sz val="14"/>
        <rFont val="Symbol"/>
      </rPr>
      <t>s</t>
    </r>
    <r>
      <rPr>
        <sz val="12"/>
        <rFont val="Helvetica"/>
      </rPr>
      <t xml:space="preserve"> Distr</t>
    </r>
  </si>
  <si>
    <r>
      <t xml:space="preserve">(± </t>
    </r>
    <r>
      <rPr>
        <sz val="14"/>
        <rFont val="Symbol"/>
      </rPr>
      <t>s</t>
    </r>
    <r>
      <rPr>
        <sz val="12"/>
        <rFont val="Arial"/>
        <charset val="204"/>
      </rPr>
      <t>)</t>
    </r>
  </si>
  <si>
    <r>
      <t>(</t>
    </r>
    <r>
      <rPr>
        <sz val="14"/>
        <rFont val="Symbol"/>
      </rPr>
      <t>s</t>
    </r>
    <r>
      <rPr>
        <sz val="12"/>
        <rFont val="Arial"/>
        <charset val="204"/>
      </rPr>
      <t>)</t>
    </r>
  </si>
  <si>
    <r>
      <t>T=±n</t>
    </r>
    <r>
      <rPr>
        <b/>
        <sz val="14"/>
        <rFont val="Symbol"/>
      </rPr>
      <t>s</t>
    </r>
  </si>
  <si>
    <r>
      <t>n</t>
    </r>
    <r>
      <rPr>
        <b/>
        <sz val="14"/>
        <rFont val="Symbol"/>
      </rPr>
      <t>s</t>
    </r>
  </si>
  <si>
    <t xml:space="preserve">    Measured Data</t>
  </si>
  <si>
    <t>RSS Distr</t>
  </si>
  <si>
    <t>Meas Distr</t>
  </si>
  <si>
    <t>Xmid</t>
  </si>
  <si>
    <t>Zmean</t>
  </si>
  <si>
    <r>
      <t>(µx-Xmid)/</t>
    </r>
    <r>
      <rPr>
        <sz val="10"/>
        <rFont val="Symbol"/>
      </rPr>
      <t>s</t>
    </r>
    <r>
      <rPr>
        <sz val="10"/>
        <rFont val="Helvetica"/>
      </rPr>
      <t>x</t>
    </r>
  </si>
  <si>
    <r>
      <t>(µ6</t>
    </r>
    <r>
      <rPr>
        <sz val="10"/>
        <rFont val="Symbol"/>
      </rPr>
      <t>s</t>
    </r>
    <r>
      <rPr>
        <sz val="10"/>
        <rFont val="Helvetica"/>
      </rPr>
      <t>-Xmid)/</t>
    </r>
    <r>
      <rPr>
        <sz val="10"/>
        <rFont val="Symbol"/>
      </rPr>
      <t>s</t>
    </r>
    <r>
      <rPr>
        <sz val="10"/>
        <rFont val="Helvetica"/>
      </rPr>
      <t>x</t>
    </r>
  </si>
  <si>
    <r>
      <t>(µmeas-Xmid)/</t>
    </r>
    <r>
      <rPr>
        <sz val="10"/>
        <rFont val="Symbol"/>
      </rPr>
      <t>s</t>
    </r>
    <r>
      <rPr>
        <sz val="10"/>
        <rFont val="Helvetica"/>
      </rPr>
      <t>x</t>
    </r>
  </si>
  <si>
    <t>=(UL+LL)/2</t>
  </si>
  <si>
    <t>Resultant Assembly Dimens</t>
  </si>
  <si>
    <t>Zeq</t>
  </si>
  <si>
    <t>© Copyright  2001  ADCATS, BYU, Provo, Utah   http://adcats.et.byu.edu</t>
  </si>
  <si>
    <t>License Agreement</t>
  </si>
  <si>
    <t>Description of User Rights</t>
  </si>
  <si>
    <t>Limitations</t>
  </si>
  <si>
    <t xml:space="preserve">This software product is protected by copyright laws and international treaty.  You may not sell, lease or rent it, or use it, or any portion of it, as part of a commercial computer application without express permission, in writing, from the ADCATS Director.  </t>
  </si>
  <si>
    <t>You may use the software in education or training courses.  You may use images of the worksheet in notes copied for the class.  You may distribute copies of the software to the class if the instructor will provide ADCATS with the name of the school or sponsor, the name and phone number or email address of the instructor, time and place of the course, and a list of names of the students in the course.  Class members may retain copies of the software for their own use, subject to the above restrictions on copying, modifying or distributing.</t>
  </si>
  <si>
    <t>Liability</t>
  </si>
  <si>
    <t xml:space="preserve">Use the software at your own risk.  There is no guarantee or warranty.  ADCATS accepts no liability for any special, incidental, indirect, or consequential damages whatsoever arising out of the use or inability to use this software product.  This includes, without limitation, damages for loss of business profits, business interruption, loss of business information, or any other pecuniary loss.  </t>
  </si>
  <si>
    <t>User Data:</t>
  </si>
  <si>
    <t>Name___________________________________________</t>
  </si>
  <si>
    <t>Company________________________________________</t>
  </si>
  <si>
    <t>Division/Department_______________________________</t>
  </si>
  <si>
    <t>Street Address____________________________________</t>
  </si>
  <si>
    <t>Mail Stop/PO Box_________________________________</t>
  </si>
  <si>
    <t>City/State_________________________ Zip____________</t>
  </si>
  <si>
    <t>Optional:</t>
  </si>
  <si>
    <t>Telephone___________________________</t>
  </si>
  <si>
    <t>Email:___________________________________________</t>
  </si>
  <si>
    <t>I have read the attached license agreement and agree to abide by the stated limitations.</t>
  </si>
  <si>
    <t>Mail, fax or email to:</t>
  </si>
  <si>
    <t>ADCATS</t>
  </si>
  <si>
    <t>Attention:  Dr. Ken Chase</t>
  </si>
  <si>
    <t>Mechanical Engineering Department</t>
  </si>
  <si>
    <t>Brigham Young University</t>
  </si>
  <si>
    <t>Provo, UT  84602</t>
  </si>
  <si>
    <t xml:space="preserve">You may make as many copies of this software as you want for your own personal use, or for the use of someone under your direction.  You may change the name of the file for the purpose of archiving analysis results.  You may use images of the worksheet, or portions thereof, in documents or reports related to its intended application.  </t>
  </si>
  <si>
    <t>You may distribute copies of the original software to your associates or clients as long as you do not change any protected cells in any of its worksheets, and as long as you retain the ADCATS copyright notice in the footer of the first worksheet.  Please forward this license agreement with the .xls file.</t>
  </si>
  <si>
    <t>You may unprotect the file and modify the program if you so desire, but you may not distribute a modified version without express permission from the ADCATS director.  We recommend that you keep a virgin copy of the original in a safe place, if you intend to unprotect the worksheet.</t>
  </si>
  <si>
    <t>This limitation does not include the user receiving compensation for applying the software for design or analysis purposes.</t>
  </si>
  <si>
    <t>If you intend to use the software in a published work, you must obtain permission from the ADCATS Director.  Sale of published works may be subject to royalty payments.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</si>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</sst>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0%"/>
    <numFmt numFmtId="165" formatCode="0.000"/>
    <numFmt numFmtId="166" formatCode="0.00000"/>
    <numFmt numFmtId="167" formatCode="0.0"/>
    <numFmt numFmtId="168" formatCode="0.0000"/>
    <numFmt numFmtId="169" formatCode="0.00000000"/>
    <numFmt numFmtId="170" formatCode="0.000000"/>
    <numFmt numFmtId="171" formatCode="0.0000000000000"/>
    <numFmt numFmtId="172" formatCode="0.000%"/>
    <numFmt numFmtId="173" formatCode="0.0%"/>
  </numFmts>
  <fonts count="26" x14ac:knownFonts="1">
    <font>
      <sz val="10"/>
      <name val="Arial"/>
      <charset val="204"/>
    </font>
    <font>
      <sz val="10"/>
      <name val="Arial"/>
      <charset val="204"/>
    </font>
    <font>
      <sz val="8"/>
      <color indexed="81"/>
      <name val="Tahoma"/>
    </font>
    <font>
      <b/>
      <sz val="8"/>
      <color indexed="81"/>
      <name val="Tahoma"/>
      <family val="2"/>
    </font>
    <font>
      <b/>
      <sz val="8"/>
      <color indexed="81"/>
      <name val="Tahoma"/>
    </font>
    <font>
      <sz val="8"/>
      <color indexed="81"/>
      <name val="Tahoma"/>
      <family val="2"/>
    </font>
    <font>
      <sz val="10"/>
      <name val="Helvetica"/>
    </font>
    <font>
      <b/>
      <sz val="10"/>
      <name val="Helvetica"/>
    </font>
    <font>
      <b/>
      <sz val="14"/>
      <name val="Helvetica"/>
    </font>
    <font>
      <sz val="10"/>
      <name val="Symbol"/>
    </font>
    <font>
      <b/>
      <sz val="10"/>
      <name val="Arial"/>
      <charset val="204"/>
    </font>
    <font>
      <b/>
      <sz val="12"/>
      <name val="Symbol"/>
      <family val="1"/>
    </font>
    <font>
      <b/>
      <vertAlign val="subscript"/>
      <sz val="12"/>
      <name val="Arial"/>
      <family val="2"/>
      <charset val="204"/>
    </font>
    <font>
      <b/>
      <sz val="12"/>
      <name val="Symbol"/>
    </font>
    <font>
      <sz val="12"/>
      <name val="Arial"/>
      <charset val="204"/>
    </font>
    <font>
      <b/>
      <i/>
      <sz val="10"/>
      <name val="Helvetica"/>
    </font>
    <font>
      <sz val="14"/>
      <name val="Symbol"/>
    </font>
    <font>
      <b/>
      <sz val="10"/>
      <name val="Symbol"/>
    </font>
    <font>
      <b/>
      <sz val="14"/>
      <name val="Symbol"/>
    </font>
    <font>
      <b/>
      <sz val="12"/>
      <name val="Helvetica"/>
    </font>
    <font>
      <sz val="12"/>
      <name val="Helvetica"/>
    </font>
    <font>
      <b/>
      <vertAlign val="subscript"/>
      <sz val="12"/>
      <name val="Helvetica"/>
    </font>
    <font>
      <sz val="12"/>
      <name val="Arial"/>
      <family val="2"/>
      <charset val="204"/>
    </font>
    <font>
      <b/>
      <vertAlign val="subscript"/>
      <sz val="14"/>
      <name val="Helvetica"/>
    </font>
    <font>
      <b/>
      <sz val="10"/>
      <name val="Arial"/>
      <family val="2"/>
      <charset val="204"/>
    </font>
    <font>
      <b/>
      <sz val="12"/>
      <name val="Arial"/>
      <family val="2"/>
      <charset val="204"/>
    </font>
  </fonts>
  <fills count="5">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46"/>
        <bgColor indexed="64"/>
      </patternFill>
    </fill>
  </fills>
  <borders count="3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style="thick">
        <color indexed="46"/>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ck">
        <color indexed="46"/>
      </left>
      <right/>
      <top style="thin">
        <color auto="1"/>
      </top>
      <bottom style="thin">
        <color auto="1"/>
      </bottom>
      <diagonal/>
    </border>
    <border>
      <left/>
      <right style="thick">
        <color indexed="46"/>
      </right>
      <top style="thin">
        <color auto="1"/>
      </top>
      <bottom style="thin">
        <color auto="1"/>
      </bottom>
      <diagonal/>
    </border>
    <border>
      <left style="thick">
        <color indexed="46"/>
      </left>
      <right/>
      <top/>
      <bottom/>
      <diagonal/>
    </border>
    <border>
      <left/>
      <right style="thick">
        <color indexed="46"/>
      </right>
      <top/>
      <bottom/>
      <diagonal/>
    </border>
    <border>
      <left style="thin">
        <color auto="1"/>
      </left>
      <right style="thin">
        <color auto="1"/>
      </right>
      <top/>
      <bottom/>
      <diagonal/>
    </border>
    <border>
      <left style="thin">
        <color auto="1"/>
      </left>
      <right style="thick">
        <color indexed="46"/>
      </right>
      <top style="thin">
        <color auto="1"/>
      </top>
      <bottom/>
      <diagonal/>
    </border>
    <border>
      <left style="thin">
        <color auto="1"/>
      </left>
      <right style="thick">
        <color indexed="46"/>
      </right>
      <top/>
      <bottom/>
      <diagonal/>
    </border>
    <border>
      <left style="thin">
        <color auto="1"/>
      </left>
      <right style="thin">
        <color auto="1"/>
      </right>
      <top/>
      <bottom style="thin">
        <color auto="1"/>
      </bottom>
      <diagonal/>
    </border>
    <border>
      <left style="thin">
        <color auto="1"/>
      </left>
      <right style="thick">
        <color indexed="46"/>
      </right>
      <top/>
      <bottom style="thin">
        <color auto="1"/>
      </bottom>
      <diagonal/>
    </border>
    <border>
      <left style="thick">
        <color indexed="46"/>
      </left>
      <right/>
      <top/>
      <bottom style="thick">
        <color indexed="46"/>
      </bottom>
      <diagonal/>
    </border>
    <border>
      <left style="thin">
        <color auto="1"/>
      </left>
      <right style="thin">
        <color auto="1"/>
      </right>
      <top/>
      <bottom style="thick">
        <color indexed="46"/>
      </bottom>
      <diagonal/>
    </border>
    <border>
      <left style="thin">
        <color auto="1"/>
      </left>
      <right style="thick">
        <color indexed="46"/>
      </right>
      <top/>
      <bottom style="thick">
        <color indexed="46"/>
      </bottom>
      <diagonal/>
    </border>
    <border>
      <left style="thick">
        <color indexed="46"/>
      </left>
      <right/>
      <top style="thin">
        <color auto="1"/>
      </top>
      <bottom/>
      <diagonal/>
    </border>
    <border>
      <left/>
      <right style="thick">
        <color indexed="46"/>
      </right>
      <top style="thin">
        <color auto="1"/>
      </top>
      <bottom/>
      <diagonal/>
    </border>
    <border>
      <left style="thick">
        <color indexed="46"/>
      </left>
      <right/>
      <top/>
      <bottom style="thin">
        <color auto="1"/>
      </bottom>
      <diagonal/>
    </border>
    <border>
      <left/>
      <right/>
      <top/>
      <bottom style="thick">
        <color indexed="46"/>
      </bottom>
      <diagonal/>
    </border>
    <border>
      <left style="thin">
        <color auto="1"/>
      </left>
      <right style="thick">
        <color indexed="46"/>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0" fontId="1" fillId="0" borderId="0"/>
  </cellStyleXfs>
  <cellXfs count="241">
    <xf numFmtId="0" fontId="0" fillId="0" borderId="0" xfId="0"/>
    <xf numFmtId="0" fontId="6" fillId="0" borderId="0" xfId="0" applyFont="1"/>
    <xf numFmtId="167" fontId="6" fillId="0" borderId="0" xfId="0" applyNumberFormat="1" applyFont="1"/>
    <xf numFmtId="0" fontId="15" fillId="0" borderId="0" xfId="0" applyFont="1"/>
    <xf numFmtId="0" fontId="6" fillId="0" borderId="0" xfId="0" applyFont="1" applyAlignment="1">
      <alignment horizontal="center"/>
    </xf>
    <xf numFmtId="0" fontId="11" fillId="2" borderId="0" xfId="1" applyFont="1" applyFill="1" applyBorder="1" applyAlignment="1" applyProtection="1">
      <alignment horizontal="center"/>
    </xf>
    <xf numFmtId="170" fontId="6" fillId="2" borderId="0" xfId="1" applyNumberFormat="1" applyFont="1" applyFill="1" applyBorder="1" applyProtection="1"/>
    <xf numFmtId="0" fontId="6" fillId="2" borderId="0" xfId="1" applyFont="1" applyFill="1" applyBorder="1" applyProtection="1"/>
    <xf numFmtId="0" fontId="6" fillId="2" borderId="0" xfId="0" applyFont="1" applyFill="1" applyBorder="1" applyProtection="1"/>
    <xf numFmtId="0" fontId="8" fillId="2" borderId="1" xfId="1" applyFont="1" applyFill="1" applyBorder="1" applyAlignment="1" applyProtection="1">
      <alignment horizontal="left"/>
    </xf>
    <xf numFmtId="0" fontId="8" fillId="2" borderId="2" xfId="1" applyFont="1" applyFill="1" applyBorder="1" applyAlignment="1" applyProtection="1">
      <alignment horizontal="center"/>
    </xf>
    <xf numFmtId="0" fontId="8" fillId="2" borderId="3" xfId="1" applyFont="1" applyFill="1" applyBorder="1" applyAlignment="1" applyProtection="1">
      <alignment horizontal="center"/>
    </xf>
    <xf numFmtId="0" fontId="7" fillId="0" borderId="0" xfId="0" applyFont="1" applyFill="1" applyAlignment="1" applyProtection="1">
      <alignment horizontal="center"/>
    </xf>
    <xf numFmtId="0" fontId="0" fillId="0" borderId="0" xfId="0" applyProtection="1"/>
    <xf numFmtId="0" fontId="7" fillId="0" borderId="0" xfId="0" applyFont="1" applyAlignment="1" applyProtection="1">
      <alignment horizontal="center"/>
    </xf>
    <xf numFmtId="0" fontId="7" fillId="2" borderId="4" xfId="1" applyFont="1" applyFill="1" applyBorder="1" applyAlignment="1" applyProtection="1">
      <alignment horizontal="left"/>
    </xf>
    <xf numFmtId="0" fontId="7" fillId="2" borderId="2" xfId="1" applyFont="1" applyFill="1" applyBorder="1" applyAlignment="1" applyProtection="1">
      <alignment horizontal="left"/>
    </xf>
    <xf numFmtId="0" fontId="7" fillId="3" borderId="5" xfId="1" applyFont="1" applyFill="1" applyBorder="1" applyAlignment="1" applyProtection="1">
      <alignment horizontal="center"/>
    </xf>
    <xf numFmtId="0" fontId="11" fillId="2" borderId="6" xfId="1" applyFont="1" applyFill="1" applyBorder="1" applyAlignment="1" applyProtection="1">
      <alignment horizontal="center"/>
    </xf>
    <xf numFmtId="0" fontId="11" fillId="2" borderId="3" xfId="1" applyFont="1" applyFill="1" applyBorder="1" applyAlignment="1" applyProtection="1">
      <alignment horizontal="center"/>
    </xf>
    <xf numFmtId="0" fontId="0" fillId="0" borderId="0" xfId="0" applyFill="1" applyProtection="1"/>
    <xf numFmtId="0" fontId="1" fillId="0" borderId="0" xfId="1" applyProtection="1"/>
    <xf numFmtId="0" fontId="6" fillId="0" borderId="0" xfId="0" applyFont="1" applyProtection="1"/>
    <xf numFmtId="0" fontId="14" fillId="0" borderId="7" xfId="1" applyFont="1" applyBorder="1" applyAlignment="1" applyProtection="1">
      <alignment horizontal="center"/>
    </xf>
    <xf numFmtId="0" fontId="14" fillId="0" borderId="8" xfId="1" applyFont="1" applyBorder="1" applyAlignment="1" applyProtection="1">
      <alignment horizontal="center"/>
    </xf>
    <xf numFmtId="170" fontId="6" fillId="0" borderId="0" xfId="0" applyNumberFormat="1" applyFont="1"/>
    <xf numFmtId="0" fontId="16" fillId="0" borderId="0" xfId="0" applyFont="1"/>
    <xf numFmtId="0" fontId="7" fillId="0" borderId="0" xfId="0" applyFont="1" applyAlignment="1">
      <alignment horizontal="right"/>
    </xf>
    <xf numFmtId="0" fontId="7" fillId="0" borderId="9" xfId="0" applyFont="1" applyBorder="1"/>
    <xf numFmtId="0" fontId="6" fillId="0" borderId="10" xfId="0" applyFont="1" applyBorder="1"/>
    <xf numFmtId="0" fontId="6" fillId="0" borderId="3" xfId="0" applyFont="1" applyBorder="1"/>
    <xf numFmtId="0" fontId="7" fillId="0" borderId="11" xfId="0" applyFont="1" applyBorder="1" applyAlignment="1">
      <alignment horizontal="right"/>
    </xf>
    <xf numFmtId="170" fontId="6" fillId="0" borderId="0" xfId="0" applyNumberFormat="1" applyFont="1" applyBorder="1"/>
    <xf numFmtId="0" fontId="6" fillId="0" borderId="0" xfId="0" applyFont="1" applyBorder="1"/>
    <xf numFmtId="0" fontId="6" fillId="0" borderId="12" xfId="0" applyFont="1" applyBorder="1"/>
    <xf numFmtId="0" fontId="7" fillId="0" borderId="13" xfId="0" applyFont="1" applyBorder="1" applyAlignment="1">
      <alignment horizontal="right"/>
    </xf>
    <xf numFmtId="0" fontId="6" fillId="0" borderId="7" xfId="0" applyFont="1" applyBorder="1"/>
    <xf numFmtId="0" fontId="6" fillId="0" borderId="14" xfId="0" applyFont="1" applyBorder="1"/>
    <xf numFmtId="167" fontId="7" fillId="0" borderId="7" xfId="0" applyNumberFormat="1" applyFont="1" applyBorder="1" applyAlignment="1">
      <alignment horizontal="center"/>
    </xf>
    <xf numFmtId="0" fontId="7" fillId="0" borderId="7" xfId="0" applyFont="1" applyBorder="1" applyAlignment="1">
      <alignment horizontal="center"/>
    </xf>
    <xf numFmtId="0" fontId="17" fillId="0" borderId="7" xfId="0" applyFont="1" applyBorder="1" applyAlignment="1">
      <alignment horizontal="center"/>
    </xf>
    <xf numFmtId="0" fontId="7" fillId="0" borderId="10" xfId="0" applyFont="1" applyBorder="1"/>
    <xf numFmtId="0" fontId="6" fillId="0" borderId="11" xfId="0" applyFont="1" applyBorder="1"/>
    <xf numFmtId="0" fontId="7" fillId="0" borderId="0" xfId="0" applyFont="1" applyBorder="1" applyAlignment="1">
      <alignment horizontal="center"/>
    </xf>
    <xf numFmtId="0" fontId="7" fillId="0" borderId="12" xfId="0" applyFont="1" applyBorder="1" applyAlignment="1">
      <alignment horizontal="center"/>
    </xf>
    <xf numFmtId="2" fontId="6" fillId="0" borderId="0" xfId="0" applyNumberFormat="1" applyFont="1" applyBorder="1"/>
    <xf numFmtId="2" fontId="6" fillId="0" borderId="12" xfId="0" applyNumberFormat="1" applyFont="1" applyBorder="1"/>
    <xf numFmtId="0" fontId="6" fillId="0" borderId="14" xfId="0" applyNumberFormat="1" applyFont="1" applyBorder="1"/>
    <xf numFmtId="0" fontId="7" fillId="0" borderId="10" xfId="0" applyFont="1" applyBorder="1" applyAlignment="1">
      <alignment horizontal="center"/>
    </xf>
    <xf numFmtId="0" fontId="7" fillId="0" borderId="3" xfId="0" applyFont="1" applyBorder="1" applyAlignment="1">
      <alignment horizontal="center"/>
    </xf>
    <xf numFmtId="0" fontId="6" fillId="0" borderId="0" xfId="0" applyFont="1" applyFill="1" applyBorder="1"/>
    <xf numFmtId="0" fontId="6" fillId="0" borderId="12" xfId="0" applyFont="1" applyFill="1" applyBorder="1"/>
    <xf numFmtId="0" fontId="7" fillId="0" borderId="11" xfId="0" applyFont="1" applyBorder="1" applyAlignment="1">
      <alignment horizontal="left"/>
    </xf>
    <xf numFmtId="0" fontId="18" fillId="0" borderId="13" xfId="0" applyFont="1" applyBorder="1" applyAlignment="1">
      <alignment horizontal="right"/>
    </xf>
    <xf numFmtId="169" fontId="6" fillId="0" borderId="7" xfId="0" applyNumberFormat="1" applyFont="1" applyFill="1" applyBorder="1"/>
    <xf numFmtId="169" fontId="6" fillId="0" borderId="14" xfId="0" applyNumberFormat="1" applyFont="1" applyFill="1" applyBorder="1"/>
    <xf numFmtId="167" fontId="6" fillId="0" borderId="9" xfId="0" applyNumberFormat="1" applyFont="1" applyBorder="1"/>
    <xf numFmtId="167" fontId="6" fillId="0" borderId="11" xfId="0" applyNumberFormat="1" applyFont="1" applyBorder="1"/>
    <xf numFmtId="0" fontId="7" fillId="0" borderId="0" xfId="0" applyFont="1" applyBorder="1"/>
    <xf numFmtId="167" fontId="6" fillId="0" borderId="13" xfId="0" applyNumberFormat="1" applyFont="1" applyBorder="1"/>
    <xf numFmtId="0" fontId="7" fillId="0" borderId="7" xfId="0" applyFont="1" applyBorder="1"/>
    <xf numFmtId="0" fontId="7" fillId="0" borderId="14" xfId="0" applyFont="1" applyBorder="1" applyAlignment="1">
      <alignment horizontal="center"/>
    </xf>
    <xf numFmtId="0" fontId="7" fillId="0" borderId="9" xfId="0" applyFont="1" applyBorder="1" applyAlignment="1">
      <alignment horizontal="right"/>
    </xf>
    <xf numFmtId="0" fontId="19" fillId="2" borderId="15" xfId="1" applyFont="1" applyFill="1" applyBorder="1" applyAlignment="1" applyProtection="1">
      <alignment horizontal="left"/>
    </xf>
    <xf numFmtId="0" fontId="19" fillId="2" borderId="2" xfId="1" applyFont="1" applyFill="1" applyBorder="1" applyAlignment="1" applyProtection="1">
      <alignment horizontal="left"/>
    </xf>
    <xf numFmtId="0" fontId="19" fillId="2" borderId="16" xfId="1" applyFont="1" applyFill="1" applyBorder="1" applyAlignment="1" applyProtection="1">
      <alignment horizontal="left"/>
    </xf>
    <xf numFmtId="0" fontId="14" fillId="0" borderId="17" xfId="0" applyFont="1" applyBorder="1" applyProtection="1"/>
    <xf numFmtId="0" fontId="19" fillId="0" borderId="6" xfId="1" applyFont="1" applyBorder="1" applyAlignment="1" applyProtection="1">
      <alignment horizontal="center"/>
    </xf>
    <xf numFmtId="0" fontId="19" fillId="0" borderId="18" xfId="0" applyFont="1" applyBorder="1" applyAlignment="1" applyProtection="1">
      <alignment horizontal="center"/>
    </xf>
    <xf numFmtId="0" fontId="14" fillId="0" borderId="17" xfId="1" applyFont="1" applyBorder="1" applyProtection="1"/>
    <xf numFmtId="0" fontId="19" fillId="0" borderId="19" xfId="1" applyFont="1" applyBorder="1" applyAlignment="1" applyProtection="1">
      <alignment horizontal="center"/>
    </xf>
    <xf numFmtId="0" fontId="19" fillId="0" borderId="8" xfId="0" applyFont="1" applyBorder="1" applyAlignment="1" applyProtection="1">
      <alignment horizontal="center"/>
    </xf>
    <xf numFmtId="0" fontId="19" fillId="2" borderId="15" xfId="1" applyFont="1" applyFill="1" applyBorder="1" applyProtection="1"/>
    <xf numFmtId="0" fontId="20" fillId="2" borderId="5" xfId="1" applyFont="1" applyFill="1" applyBorder="1" applyProtection="1"/>
    <xf numFmtId="0" fontId="20" fillId="0" borderId="20" xfId="0" applyFont="1" applyBorder="1" applyProtection="1"/>
    <xf numFmtId="0" fontId="19" fillId="0" borderId="17" xfId="1" applyFont="1" applyBorder="1" applyAlignment="1" applyProtection="1">
      <alignment horizontal="center"/>
    </xf>
    <xf numFmtId="0" fontId="20" fillId="0" borderId="19" xfId="1" applyFont="1" applyBorder="1" applyProtection="1"/>
    <xf numFmtId="0" fontId="20" fillId="0" borderId="21" xfId="1" applyFont="1" applyBorder="1" applyProtection="1"/>
    <xf numFmtId="0" fontId="20" fillId="2" borderId="22" xfId="1" applyFont="1" applyFill="1" applyBorder="1" applyProtection="1"/>
    <xf numFmtId="0" fontId="20" fillId="0" borderId="23" xfId="0" applyFont="1" applyBorder="1" applyProtection="1"/>
    <xf numFmtId="0" fontId="20" fillId="0" borderId="19" xfId="1" applyFont="1" applyBorder="1" applyAlignment="1" applyProtection="1"/>
    <xf numFmtId="166" fontId="20" fillId="0" borderId="21" xfId="1" applyNumberFormat="1" applyFont="1" applyBorder="1" applyAlignment="1" applyProtection="1"/>
    <xf numFmtId="0" fontId="20" fillId="0" borderId="11" xfId="1" applyFont="1" applyBorder="1" applyProtection="1"/>
    <xf numFmtId="165" fontId="20" fillId="0" borderId="11" xfId="1" applyNumberFormat="1" applyFont="1" applyBorder="1" applyProtection="1"/>
    <xf numFmtId="165" fontId="20" fillId="0" borderId="21" xfId="1" applyNumberFormat="1" applyFont="1" applyBorder="1" applyProtection="1"/>
    <xf numFmtId="0" fontId="19" fillId="0" borderId="17" xfId="0" applyFont="1" applyBorder="1" applyAlignment="1" applyProtection="1">
      <alignment horizontal="center"/>
    </xf>
    <xf numFmtId="165" fontId="20" fillId="0" borderId="19" xfId="1" applyNumberFormat="1" applyFont="1" applyBorder="1" applyProtection="1"/>
    <xf numFmtId="0" fontId="20" fillId="2" borderId="5" xfId="0" applyFont="1" applyFill="1" applyBorder="1" applyProtection="1"/>
    <xf numFmtId="166" fontId="20" fillId="0" borderId="21" xfId="1" applyNumberFormat="1" applyFont="1" applyBorder="1" applyProtection="1"/>
    <xf numFmtId="0" fontId="20" fillId="0" borderId="19" xfId="1" applyNumberFormat="1" applyFont="1" applyBorder="1" applyProtection="1"/>
    <xf numFmtId="0" fontId="20" fillId="0" borderId="21" xfId="1" applyNumberFormat="1" applyFont="1" applyBorder="1" applyProtection="1"/>
    <xf numFmtId="0" fontId="20" fillId="0" borderId="18" xfId="1" applyFont="1" applyBorder="1" applyProtection="1"/>
    <xf numFmtId="165" fontId="20" fillId="0" borderId="18" xfId="1" applyNumberFormat="1" applyFont="1" applyBorder="1" applyProtection="1"/>
    <xf numFmtId="0" fontId="19" fillId="0" borderId="24" xfId="1" applyFont="1" applyBorder="1" applyAlignment="1" applyProtection="1">
      <alignment horizontal="center"/>
    </xf>
    <xf numFmtId="165" fontId="20" fillId="0" borderId="25" xfId="1" applyNumberFormat="1" applyFont="1" applyBorder="1" applyProtection="1"/>
    <xf numFmtId="165" fontId="20" fillId="0" borderId="26" xfId="1" applyNumberFormat="1" applyFont="1" applyBorder="1" applyProtection="1"/>
    <xf numFmtId="0" fontId="19" fillId="2" borderId="9" xfId="1" applyFont="1" applyFill="1" applyBorder="1" applyProtection="1"/>
    <xf numFmtId="0" fontId="19" fillId="2" borderId="10" xfId="1" applyFont="1" applyFill="1" applyBorder="1" applyProtection="1"/>
    <xf numFmtId="0" fontId="19" fillId="2" borderId="3" xfId="1" applyFont="1" applyFill="1" applyBorder="1" applyProtection="1"/>
    <xf numFmtId="0" fontId="19" fillId="2" borderId="0" xfId="1" applyFont="1" applyFill="1" applyBorder="1" applyProtection="1"/>
    <xf numFmtId="0" fontId="14" fillId="2" borderId="1" xfId="0" applyFont="1" applyFill="1" applyBorder="1" applyProtection="1"/>
    <xf numFmtId="0" fontId="19" fillId="2" borderId="2" xfId="1" applyFont="1" applyFill="1" applyBorder="1" applyAlignment="1" applyProtection="1">
      <alignment horizontal="center"/>
    </xf>
    <xf numFmtId="0" fontId="19" fillId="2" borderId="3" xfId="1" applyFont="1" applyFill="1" applyBorder="1" applyAlignment="1" applyProtection="1">
      <alignment horizontal="center"/>
    </xf>
    <xf numFmtId="0" fontId="19" fillId="2" borderId="1" xfId="1" applyFont="1" applyFill="1" applyBorder="1" applyAlignment="1" applyProtection="1">
      <alignment horizontal="left"/>
    </xf>
    <xf numFmtId="0" fontId="19" fillId="2" borderId="4" xfId="1" applyFont="1" applyFill="1" applyBorder="1" applyAlignment="1" applyProtection="1">
      <alignment horizontal="left"/>
    </xf>
    <xf numFmtId="0" fontId="19" fillId="3" borderId="1" xfId="1" applyFont="1" applyFill="1" applyBorder="1" applyAlignment="1" applyProtection="1">
      <alignment horizontal="center"/>
    </xf>
    <xf numFmtId="0" fontId="19" fillId="3" borderId="5" xfId="1" applyFont="1" applyFill="1" applyBorder="1" applyAlignment="1" applyProtection="1">
      <alignment horizontal="center"/>
    </xf>
    <xf numFmtId="0" fontId="19" fillId="3" borderId="2" xfId="1" applyFont="1" applyFill="1" applyBorder="1" applyAlignment="1" applyProtection="1">
      <alignment horizontal="center" vertical="center"/>
    </xf>
    <xf numFmtId="0" fontId="19" fillId="0" borderId="4" xfId="1" applyFont="1" applyFill="1" applyBorder="1" applyAlignment="1" applyProtection="1">
      <alignment horizontal="center"/>
    </xf>
    <xf numFmtId="0" fontId="19" fillId="0" borderId="1" xfId="1" applyFont="1" applyBorder="1" applyAlignment="1" applyProtection="1">
      <alignment horizontal="center"/>
    </xf>
    <xf numFmtId="0" fontId="20" fillId="3" borderId="11" xfId="1" applyFont="1" applyFill="1" applyBorder="1" applyAlignment="1" applyProtection="1">
      <alignment horizontal="center"/>
      <protection locked="0"/>
    </xf>
    <xf numFmtId="0" fontId="20" fillId="3" borderId="19" xfId="1" applyFont="1" applyFill="1" applyBorder="1" applyAlignment="1" applyProtection="1">
      <alignment horizontal="center"/>
      <protection locked="0"/>
    </xf>
    <xf numFmtId="0" fontId="20" fillId="3" borderId="0" xfId="1" applyFont="1" applyFill="1" applyBorder="1" applyAlignment="1" applyProtection="1">
      <alignment horizontal="center"/>
      <protection locked="0"/>
    </xf>
    <xf numFmtId="2" fontId="20" fillId="0" borderId="19" xfId="1" applyNumberFormat="1" applyFont="1" applyFill="1" applyBorder="1" applyAlignment="1" applyProtection="1">
      <alignment horizontal="center"/>
    </xf>
    <xf numFmtId="170" fontId="20" fillId="0" borderId="19" xfId="1" applyNumberFormat="1" applyFont="1" applyBorder="1" applyProtection="1"/>
    <xf numFmtId="170" fontId="20" fillId="2" borderId="12" xfId="1" applyNumberFormat="1" applyFont="1" applyFill="1" applyBorder="1" applyProtection="1"/>
    <xf numFmtId="2" fontId="20" fillId="3" borderId="19" xfId="1" applyNumberFormat="1" applyFont="1" applyFill="1" applyBorder="1" applyAlignment="1" applyProtection="1">
      <alignment horizontal="center"/>
      <protection locked="0"/>
    </xf>
    <xf numFmtId="2" fontId="20" fillId="0" borderId="11" xfId="1" applyNumberFormat="1" applyFont="1" applyBorder="1" applyAlignment="1" applyProtection="1">
      <alignment horizontal="center"/>
    </xf>
    <xf numFmtId="170" fontId="20" fillId="3" borderId="19" xfId="1" applyNumberFormat="1" applyFont="1" applyFill="1" applyBorder="1" applyProtection="1">
      <protection locked="0"/>
    </xf>
    <xf numFmtId="0" fontId="20" fillId="3" borderId="19" xfId="1" applyFont="1" applyFill="1" applyBorder="1" applyProtection="1">
      <protection locked="0"/>
    </xf>
    <xf numFmtId="165" fontId="20" fillId="3" borderId="0" xfId="1" applyNumberFormat="1" applyFont="1" applyFill="1" applyBorder="1" applyAlignment="1" applyProtection="1">
      <alignment horizontal="center"/>
      <protection locked="0"/>
    </xf>
    <xf numFmtId="0" fontId="20" fillId="3" borderId="19" xfId="0" applyFont="1" applyFill="1" applyBorder="1" applyProtection="1">
      <protection locked="0"/>
    </xf>
    <xf numFmtId="0" fontId="20" fillId="3" borderId="13" xfId="1" applyFont="1" applyFill="1" applyBorder="1" applyAlignment="1" applyProtection="1">
      <alignment horizontal="center"/>
      <protection locked="0"/>
    </xf>
    <xf numFmtId="0" fontId="20" fillId="3" borderId="22" xfId="1" applyFont="1" applyFill="1" applyBorder="1" applyAlignment="1" applyProtection="1">
      <alignment horizontal="center"/>
      <protection locked="0"/>
    </xf>
    <xf numFmtId="0" fontId="20" fillId="3" borderId="7" xfId="1" applyFont="1" applyFill="1" applyBorder="1" applyAlignment="1" applyProtection="1">
      <alignment horizontal="center"/>
      <protection locked="0"/>
    </xf>
    <xf numFmtId="2" fontId="20" fillId="0" borderId="22" xfId="1" applyNumberFormat="1" applyFont="1" applyFill="1" applyBorder="1" applyAlignment="1" applyProtection="1">
      <alignment horizontal="center"/>
    </xf>
    <xf numFmtId="170" fontId="20" fillId="0" borderId="22" xfId="1" applyNumberFormat="1" applyFont="1" applyBorder="1" applyProtection="1"/>
    <xf numFmtId="170" fontId="20" fillId="2" borderId="14" xfId="1" applyNumberFormat="1" applyFont="1" applyFill="1" applyBorder="1" applyProtection="1"/>
    <xf numFmtId="2" fontId="20" fillId="3" borderId="22" xfId="1" applyNumberFormat="1" applyFont="1" applyFill="1" applyBorder="1" applyAlignment="1" applyProtection="1">
      <alignment horizontal="center"/>
      <protection locked="0"/>
    </xf>
    <xf numFmtId="2" fontId="20" fillId="0" borderId="13" xfId="1" applyNumberFormat="1" applyFont="1" applyBorder="1" applyAlignment="1" applyProtection="1">
      <alignment horizontal="center"/>
    </xf>
    <xf numFmtId="0" fontId="20" fillId="3" borderId="22" xfId="0" applyFont="1" applyFill="1" applyBorder="1" applyProtection="1">
      <protection locked="0"/>
    </xf>
    <xf numFmtId="166" fontId="20" fillId="0" borderId="19" xfId="1" applyNumberFormat="1" applyFont="1" applyBorder="1" applyProtection="1"/>
    <xf numFmtId="166" fontId="20" fillId="0" borderId="22" xfId="1" applyNumberFormat="1" applyFont="1" applyBorder="1" applyProtection="1"/>
    <xf numFmtId="168" fontId="20" fillId="3" borderId="19" xfId="1" applyNumberFormat="1" applyFont="1" applyFill="1" applyBorder="1" applyProtection="1">
      <protection locked="0"/>
    </xf>
    <xf numFmtId="168" fontId="20" fillId="3" borderId="22" xfId="1" applyNumberFormat="1" applyFont="1" applyFill="1" applyBorder="1" applyProtection="1">
      <protection locked="0"/>
    </xf>
    <xf numFmtId="0" fontId="14" fillId="0" borderId="6" xfId="1" applyFont="1" applyBorder="1" applyProtection="1"/>
    <xf numFmtId="0" fontId="19" fillId="3" borderId="19" xfId="0" applyFont="1" applyFill="1" applyBorder="1" applyAlignment="1" applyProtection="1">
      <alignment horizontal="center"/>
    </xf>
    <xf numFmtId="0" fontId="19" fillId="3" borderId="19" xfId="1" applyFont="1" applyFill="1" applyBorder="1" applyAlignment="1" applyProtection="1">
      <alignment horizontal="center"/>
    </xf>
    <xf numFmtId="0" fontId="14" fillId="0" borderId="22" xfId="0" applyFont="1" applyBorder="1" applyProtection="1"/>
    <xf numFmtId="0" fontId="19" fillId="3" borderId="22" xfId="1" applyFont="1" applyFill="1" applyBorder="1" applyAlignment="1" applyProtection="1">
      <alignment horizontal="center"/>
    </xf>
    <xf numFmtId="0" fontId="19" fillId="3" borderId="22" xfId="0" applyFont="1" applyFill="1" applyBorder="1" applyAlignment="1" applyProtection="1">
      <alignment horizontal="center"/>
    </xf>
    <xf numFmtId="0" fontId="14" fillId="2" borderId="2" xfId="1" applyFont="1" applyFill="1" applyBorder="1" applyProtection="1"/>
    <xf numFmtId="0" fontId="19" fillId="2" borderId="1" xfId="1" applyFont="1" applyFill="1" applyBorder="1" applyAlignment="1" applyProtection="1">
      <alignment horizontal="center"/>
    </xf>
    <xf numFmtId="0" fontId="19" fillId="2" borderId="2" xfId="1" applyFont="1" applyFill="1" applyBorder="1" applyProtection="1"/>
    <xf numFmtId="0" fontId="19" fillId="2" borderId="16" xfId="1" applyFont="1" applyFill="1" applyBorder="1" applyAlignment="1" applyProtection="1">
      <alignment horizontal="center"/>
    </xf>
    <xf numFmtId="0" fontId="22" fillId="0" borderId="7" xfId="1" applyFont="1" applyBorder="1" applyAlignment="1" applyProtection="1">
      <alignment horizontal="center"/>
    </xf>
    <xf numFmtId="0" fontId="14" fillId="2" borderId="5" xfId="1" applyFont="1" applyFill="1" applyBorder="1" applyAlignment="1" applyProtection="1">
      <alignment horizontal="center"/>
    </xf>
    <xf numFmtId="0" fontId="19" fillId="0" borderId="27" xfId="1" applyFont="1" applyBorder="1" applyAlignment="1" applyProtection="1">
      <alignment horizontal="center"/>
    </xf>
    <xf numFmtId="165" fontId="20" fillId="0" borderId="10" xfId="1" applyNumberFormat="1" applyFont="1" applyBorder="1" applyProtection="1"/>
    <xf numFmtId="172" fontId="20" fillId="0" borderId="10" xfId="1" applyNumberFormat="1" applyFont="1" applyBorder="1" applyProtection="1"/>
    <xf numFmtId="0" fontId="20" fillId="0" borderId="10" xfId="1" applyNumberFormat="1" applyFont="1" applyBorder="1" applyProtection="1"/>
    <xf numFmtId="173" fontId="20" fillId="0" borderId="10" xfId="1" applyNumberFormat="1" applyFont="1" applyBorder="1" applyProtection="1"/>
    <xf numFmtId="164" fontId="20" fillId="2" borderId="6" xfId="1" applyNumberFormat="1" applyFont="1" applyFill="1" applyBorder="1" applyProtection="1"/>
    <xf numFmtId="165" fontId="20" fillId="0" borderId="28" xfId="1" quotePrefix="1" applyNumberFormat="1" applyFont="1" applyFill="1" applyBorder="1" applyAlignment="1" applyProtection="1">
      <alignment horizontal="center"/>
    </xf>
    <xf numFmtId="0" fontId="19" fillId="0" borderId="29" xfId="1" applyFont="1" applyBorder="1" applyAlignment="1" applyProtection="1">
      <alignment horizontal="center"/>
    </xf>
    <xf numFmtId="165" fontId="20" fillId="0" borderId="7" xfId="1" applyNumberFormat="1" applyFont="1" applyBorder="1" applyProtection="1"/>
    <xf numFmtId="172" fontId="20" fillId="0" borderId="7" xfId="1" applyNumberFormat="1" applyFont="1" applyBorder="1" applyProtection="1"/>
    <xf numFmtId="0" fontId="20" fillId="0" borderId="7" xfId="1" applyNumberFormat="1" applyFont="1" applyBorder="1" applyProtection="1"/>
    <xf numFmtId="173" fontId="20" fillId="0" borderId="7" xfId="1" applyNumberFormat="1" applyFont="1" applyBorder="1" applyProtection="1"/>
    <xf numFmtId="164" fontId="20" fillId="2" borderId="22" xfId="1" applyNumberFormat="1" applyFont="1" applyFill="1" applyBorder="1" applyProtection="1"/>
    <xf numFmtId="165" fontId="20" fillId="0" borderId="8" xfId="1" quotePrefix="1" applyNumberFormat="1" applyFont="1" applyFill="1" applyBorder="1" applyAlignment="1" applyProtection="1">
      <alignment horizontal="center"/>
    </xf>
    <xf numFmtId="0" fontId="20" fillId="0" borderId="0" xfId="1" quotePrefix="1" applyFont="1" applyBorder="1" applyAlignment="1" applyProtection="1">
      <alignment horizontal="center"/>
    </xf>
    <xf numFmtId="172" fontId="20" fillId="0" borderId="0" xfId="1" applyNumberFormat="1" applyFont="1" applyBorder="1" applyProtection="1"/>
    <xf numFmtId="0" fontId="20" fillId="0" borderId="0" xfId="1" applyNumberFormat="1" applyFont="1" applyBorder="1" applyProtection="1"/>
    <xf numFmtId="173" fontId="20" fillId="0" borderId="0" xfId="1" applyNumberFormat="1" applyFont="1" applyBorder="1" applyProtection="1"/>
    <xf numFmtId="168" fontId="20" fillId="4" borderId="18" xfId="1" applyNumberFormat="1" applyFont="1" applyFill="1" applyBorder="1" applyAlignment="1" applyProtection="1">
      <alignment horizontal="center"/>
    </xf>
    <xf numFmtId="0" fontId="14" fillId="2" borderId="2" xfId="0" applyFont="1" applyFill="1" applyBorder="1" applyProtection="1"/>
    <xf numFmtId="0" fontId="14" fillId="2" borderId="16" xfId="0" applyFont="1" applyFill="1" applyBorder="1" applyProtection="1"/>
    <xf numFmtId="0" fontId="20" fillId="0" borderId="30" xfId="1" quotePrefix="1" applyFont="1" applyBorder="1" applyAlignment="1" applyProtection="1">
      <alignment horizontal="center"/>
    </xf>
    <xf numFmtId="172" fontId="20" fillId="0" borderId="30" xfId="1" applyNumberFormat="1" applyFont="1" applyBorder="1" applyProtection="1"/>
    <xf numFmtId="173" fontId="20" fillId="0" borderId="30" xfId="1" applyNumberFormat="1" applyFont="1" applyBorder="1" applyProtection="1"/>
    <xf numFmtId="0" fontId="0" fillId="0" borderId="14" xfId="0" applyBorder="1" applyProtection="1"/>
    <xf numFmtId="0" fontId="18" fillId="0" borderId="17" xfId="1" applyFont="1" applyBorder="1" applyAlignment="1" applyProtection="1">
      <alignment horizontal="center"/>
    </xf>
    <xf numFmtId="0" fontId="7" fillId="0" borderId="11" xfId="0" applyFont="1" applyBorder="1"/>
    <xf numFmtId="0" fontId="7" fillId="0" borderId="13" xfId="0" applyFont="1" applyBorder="1"/>
    <xf numFmtId="0" fontId="7" fillId="0" borderId="11" xfId="0" applyFont="1" applyBorder="1" applyAlignment="1">
      <alignment horizontal="center"/>
    </xf>
    <xf numFmtId="0" fontId="7" fillId="0" borderId="13" xfId="0" applyFont="1" applyBorder="1" applyAlignment="1">
      <alignment horizontal="center"/>
    </xf>
    <xf numFmtId="0" fontId="19" fillId="4" borderId="4" xfId="0" applyFont="1" applyFill="1" applyBorder="1" applyAlignment="1" applyProtection="1">
      <alignment horizontal="center"/>
    </xf>
    <xf numFmtId="0" fontId="10" fillId="4" borderId="1" xfId="0" applyFont="1" applyFill="1" applyBorder="1" applyProtection="1"/>
    <xf numFmtId="0" fontId="8" fillId="4" borderId="2" xfId="0" applyFont="1" applyFill="1" applyBorder="1" applyAlignment="1" applyProtection="1">
      <alignment horizontal="center"/>
    </xf>
    <xf numFmtId="0" fontId="10" fillId="4" borderId="4" xfId="0" applyFont="1" applyFill="1" applyBorder="1" applyProtection="1"/>
    <xf numFmtId="0" fontId="19" fillId="0" borderId="2" xfId="0" applyFont="1" applyBorder="1" applyAlignment="1" applyProtection="1">
      <alignment horizontal="center"/>
    </xf>
    <xf numFmtId="0" fontId="20" fillId="0" borderId="11" xfId="0" applyFont="1" applyBorder="1" applyProtection="1"/>
    <xf numFmtId="0" fontId="6" fillId="0" borderId="12" xfId="0" applyFont="1" applyBorder="1" applyProtection="1"/>
    <xf numFmtId="0" fontId="20" fillId="0" borderId="13" xfId="0" applyFont="1" applyBorder="1" applyProtection="1"/>
    <xf numFmtId="0" fontId="6" fillId="0" borderId="14" xfId="0" applyFont="1" applyBorder="1" applyProtection="1"/>
    <xf numFmtId="0" fontId="6" fillId="4" borderId="1" xfId="0" applyFont="1" applyFill="1" applyBorder="1" applyProtection="1"/>
    <xf numFmtId="0" fontId="6" fillId="4" borderId="2" xfId="0" applyFont="1" applyFill="1" applyBorder="1" applyProtection="1"/>
    <xf numFmtId="0" fontId="6" fillId="4" borderId="4" xfId="0" applyFont="1" applyFill="1" applyBorder="1" applyProtection="1"/>
    <xf numFmtId="0" fontId="20" fillId="2" borderId="2" xfId="1" applyFont="1" applyFill="1" applyBorder="1" applyProtection="1"/>
    <xf numFmtId="0" fontId="20" fillId="2" borderId="16" xfId="1" applyFont="1" applyFill="1" applyBorder="1" applyProtection="1"/>
    <xf numFmtId="0" fontId="20" fillId="0" borderId="17" xfId="1" applyFont="1" applyBorder="1" applyProtection="1"/>
    <xf numFmtId="0" fontId="6" fillId="0" borderId="0" xfId="0" applyFont="1" applyFill="1" applyBorder="1" applyProtection="1"/>
    <xf numFmtId="0" fontId="6" fillId="0" borderId="0" xfId="1" applyFont="1" applyFill="1" applyBorder="1" applyProtection="1"/>
    <xf numFmtId="0" fontId="20" fillId="0" borderId="29" xfId="1" applyFont="1" applyBorder="1" applyProtection="1"/>
    <xf numFmtId="0" fontId="19" fillId="0" borderId="17" xfId="1" applyFont="1" applyBorder="1" applyAlignment="1" applyProtection="1">
      <alignment horizontal="right"/>
    </xf>
    <xf numFmtId="0" fontId="19" fillId="0" borderId="24" xfId="1" applyFont="1" applyBorder="1" applyAlignment="1" applyProtection="1">
      <alignment horizontal="right"/>
    </xf>
    <xf numFmtId="0" fontId="20" fillId="0" borderId="0" xfId="0" applyFont="1" applyProtection="1"/>
    <xf numFmtId="0" fontId="20" fillId="0" borderId="7" xfId="1" applyFont="1" applyBorder="1" applyAlignment="1" applyProtection="1">
      <alignment horizontal="center"/>
    </xf>
    <xf numFmtId="0" fontId="20" fillId="2" borderId="5" xfId="1" applyFont="1" applyFill="1" applyBorder="1" applyAlignment="1" applyProtection="1">
      <alignment horizontal="center"/>
    </xf>
    <xf numFmtId="0" fontId="18" fillId="0" borderId="4" xfId="1" applyFont="1" applyBorder="1" applyAlignment="1" applyProtection="1">
      <alignment horizontal="center"/>
    </xf>
    <xf numFmtId="0" fontId="18" fillId="0" borderId="5" xfId="1" applyFont="1" applyBorder="1" applyAlignment="1" applyProtection="1">
      <alignment horizontal="center"/>
    </xf>
    <xf numFmtId="0" fontId="18" fillId="3" borderId="4" xfId="1" applyFont="1" applyFill="1" applyBorder="1" applyAlignment="1" applyProtection="1">
      <alignment horizontal="center"/>
    </xf>
    <xf numFmtId="0" fontId="8" fillId="4" borderId="1" xfId="0" applyFont="1" applyFill="1" applyBorder="1" applyProtection="1"/>
    <xf numFmtId="0" fontId="20" fillId="4" borderId="2" xfId="0" applyFont="1" applyFill="1" applyBorder="1" applyProtection="1"/>
    <xf numFmtId="0" fontId="20" fillId="4" borderId="4" xfId="0" applyFont="1" applyFill="1" applyBorder="1" applyProtection="1"/>
    <xf numFmtId="0" fontId="20" fillId="3" borderId="19" xfId="0" applyFont="1" applyFill="1" applyBorder="1" applyAlignment="1" applyProtection="1">
      <alignment horizontal="center"/>
      <protection locked="0"/>
    </xf>
    <xf numFmtId="0" fontId="20" fillId="3" borderId="22" xfId="0" applyFont="1" applyFill="1" applyBorder="1" applyAlignment="1" applyProtection="1">
      <alignment horizontal="center"/>
      <protection locked="0"/>
    </xf>
    <xf numFmtId="167" fontId="20" fillId="0" borderId="30" xfId="1" applyNumberFormat="1" applyFont="1" applyBorder="1" applyProtection="1"/>
    <xf numFmtId="165" fontId="20" fillId="4" borderId="31" xfId="1" applyNumberFormat="1" applyFont="1" applyFill="1" applyBorder="1" applyAlignment="1" applyProtection="1">
      <alignment horizontal="center"/>
    </xf>
    <xf numFmtId="0" fontId="6" fillId="0" borderId="0" xfId="0" quotePrefix="1" applyFont="1" applyBorder="1"/>
    <xf numFmtId="0" fontId="7" fillId="0" borderId="4" xfId="0" applyFont="1" applyBorder="1" applyAlignment="1">
      <alignment horizontal="center"/>
    </xf>
    <xf numFmtId="171" fontId="6" fillId="0" borderId="10" xfId="0" applyNumberFormat="1" applyFont="1" applyBorder="1"/>
    <xf numFmtId="0" fontId="6" fillId="0" borderId="10" xfId="0" applyNumberFormat="1" applyFont="1" applyBorder="1"/>
    <xf numFmtId="0" fontId="6" fillId="0" borderId="3" xfId="0" applyNumberFormat="1" applyFont="1" applyBorder="1"/>
    <xf numFmtId="171" fontId="6" fillId="0" borderId="0" xfId="0" applyNumberFormat="1" applyFont="1" applyBorder="1"/>
    <xf numFmtId="0" fontId="6" fillId="0" borderId="0" xfId="0" applyNumberFormat="1" applyFont="1" applyBorder="1"/>
    <xf numFmtId="0" fontId="6" fillId="0" borderId="12" xfId="0" applyNumberFormat="1" applyFont="1" applyBorder="1"/>
    <xf numFmtId="171" fontId="6" fillId="0" borderId="7" xfId="0" applyNumberFormat="1" applyFont="1" applyBorder="1"/>
    <xf numFmtId="0" fontId="6" fillId="0" borderId="7" xfId="0" applyNumberFormat="1" applyFont="1" applyBorder="1"/>
    <xf numFmtId="170" fontId="6" fillId="0" borderId="7" xfId="0" applyNumberFormat="1" applyFont="1" applyBorder="1"/>
    <xf numFmtId="0" fontId="20" fillId="0" borderId="6" xfId="0" applyFont="1" applyBorder="1" applyProtection="1"/>
    <xf numFmtId="0" fontId="20" fillId="3" borderId="6" xfId="1" applyFont="1" applyFill="1" applyBorder="1" applyAlignment="1" applyProtection="1">
      <alignment horizontal="center"/>
      <protection locked="0"/>
    </xf>
    <xf numFmtId="0" fontId="19" fillId="0" borderId="13" xfId="1" applyFont="1" applyBorder="1" applyAlignment="1" applyProtection="1">
      <alignment horizontal="center"/>
    </xf>
    <xf numFmtId="0" fontId="20" fillId="0" borderId="14" xfId="0" applyFont="1" applyBorder="1" applyProtection="1"/>
    <xf numFmtId="0" fontId="19" fillId="0" borderId="9" xfId="1" applyFont="1" applyBorder="1" applyAlignment="1" applyProtection="1">
      <alignment horizontal="center"/>
    </xf>
    <xf numFmtId="0" fontId="20" fillId="3" borderId="3" xfId="1" applyFont="1" applyFill="1" applyBorder="1" applyAlignment="1" applyProtection="1">
      <alignment horizontal="center"/>
      <protection locked="0"/>
    </xf>
    <xf numFmtId="166" fontId="20" fillId="0" borderId="3" xfId="1" applyNumberFormat="1" applyFont="1" applyBorder="1" applyAlignment="1" applyProtection="1">
      <alignment horizontal="right"/>
    </xf>
    <xf numFmtId="166" fontId="20" fillId="0" borderId="14" xfId="1" applyNumberFormat="1" applyFont="1" applyFill="1" applyBorder="1" applyAlignment="1" applyProtection="1">
      <alignment horizontal="right"/>
    </xf>
    <xf numFmtId="0" fontId="19" fillId="0" borderId="22" xfId="1" applyFont="1" applyBorder="1" applyAlignment="1" applyProtection="1">
      <alignment horizontal="center"/>
    </xf>
    <xf numFmtId="0" fontId="20" fillId="0" borderId="22" xfId="1" applyFont="1" applyFill="1" applyBorder="1" applyAlignment="1" applyProtection="1">
      <alignment horizontal="center"/>
      <protection locked="0"/>
    </xf>
    <xf numFmtId="0" fontId="0" fillId="0" borderId="0" xfId="0" applyAlignment="1">
      <alignment wrapText="1"/>
    </xf>
    <xf numFmtId="0" fontId="24" fillId="0" borderId="0" xfId="0" applyFont="1" applyAlignment="1">
      <alignment horizontal="center" wrapText="1"/>
    </xf>
    <xf numFmtId="0" fontId="25" fillId="0" borderId="0" xfId="0" applyFont="1" applyAlignment="1">
      <alignment horizontal="center" wrapText="1"/>
    </xf>
    <xf numFmtId="0" fontId="0" fillId="0" borderId="32" xfId="0" applyBorder="1" applyAlignment="1" applyProtection="1">
      <alignment wrapText="1"/>
      <protection locked="0"/>
    </xf>
    <xf numFmtId="0" fontId="25" fillId="0" borderId="33" xfId="0" applyFont="1" applyBorder="1" applyAlignment="1" applyProtection="1">
      <alignment horizontal="center" wrapText="1"/>
      <protection locked="0"/>
    </xf>
    <xf numFmtId="0" fontId="0" fillId="0" borderId="33" xfId="0" applyBorder="1" applyAlignment="1" applyProtection="1">
      <alignment wrapText="1"/>
      <protection locked="0"/>
    </xf>
    <xf numFmtId="0" fontId="24" fillId="0" borderId="33" xfId="0" applyFont="1" applyBorder="1" applyAlignment="1" applyProtection="1">
      <alignment wrapText="1"/>
      <protection locked="0"/>
    </xf>
    <xf numFmtId="0" fontId="0" fillId="0" borderId="34" xfId="0" applyBorder="1" applyAlignment="1" applyProtection="1">
      <alignment wrapText="1"/>
      <protection locked="0"/>
    </xf>
    <xf numFmtId="0" fontId="19" fillId="2" borderId="2" xfId="1" applyFont="1" applyFill="1" applyBorder="1" applyAlignment="1" applyProtection="1">
      <alignment horizontal="center"/>
    </xf>
    <xf numFmtId="0" fontId="14" fillId="0" borderId="2" xfId="0" applyFont="1" applyBorder="1" applyAlignment="1" applyProtection="1">
      <alignment horizontal="center"/>
    </xf>
  </cellXfs>
  <cellStyles count="2">
    <cellStyle name="Normal" xfId="0" builtinId="0"/>
    <cellStyle name="Normal_Book1" xfId="1" xr:uid="{00000000-0005-0000-0000-000001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50" b="1" i="0" u="none" strike="noStrike" baseline="0">
                <a:solidFill>
                  <a:srgbClr val="000000"/>
                </a:solidFill>
                <a:latin typeface="Helvetica"/>
                <a:ea typeface="Helvetica"/>
                <a:cs typeface="Helvetica"/>
              </a:defRPr>
            </a:pPr>
            <a:r>
              <a:rPr lang="en-US"/>
              <a:t>Distribution of Assembly Function</a:t>
            </a:r>
          </a:p>
        </c:rich>
      </c:tx>
      <c:layout>
        <c:manualLayout>
          <c:xMode val="edge"/>
          <c:yMode val="edge"/>
          <c:x val="0.228346511563642"/>
          <c:y val="3.0211458079020401E-2"/>
        </c:manualLayout>
      </c:layout>
      <c:overlay val="0"/>
      <c:spPr>
        <a:solidFill>
          <a:srgbClr val="CC99FF"/>
        </a:solidFill>
        <a:ln w="25400">
          <a:noFill/>
        </a:ln>
      </c:spPr>
    </c:title>
    <c:autoTitleDeleted val="0"/>
    <c:plotArea>
      <c:layout>
        <c:manualLayout>
          <c:layoutTarget val="inner"/>
          <c:xMode val="edge"/>
          <c:yMode val="edge"/>
          <c:x val="0.108267742551727"/>
          <c:y val="0.217522498168947"/>
          <c:w val="0.84842540072353101"/>
          <c:h val="0.63141947385152597"/>
        </c:manualLayout>
      </c:layout>
      <c:scatterChart>
        <c:scatterStyle val="smoothMarker"/>
        <c:varyColors val="0"/>
        <c:ser>
          <c:idx val="0"/>
          <c:order val="0"/>
          <c:tx>
            <c:v>RSS</c:v>
          </c:tx>
          <c:spPr>
            <a:ln w="25400">
              <a:solidFill>
                <a:srgbClr val="000080"/>
              </a:solidFill>
              <a:prstDash val="solid"/>
            </a:ln>
          </c:spPr>
          <c:marker>
            <c:symbol val="none"/>
          </c:marker>
          <c:xVal>
            <c:numRef>
              <c:f>'Chart Data'!$A$9:$A$69</c:f>
              <c:numCache>
                <c:formatCode>0.0</c:formatCode>
                <c:ptCount val="61"/>
                <c:pt idx="0">
                  <c:v>-6</c:v>
                </c:pt>
                <c:pt idx="1">
                  <c:v>-5.8</c:v>
                </c:pt>
                <c:pt idx="2">
                  <c:v>-5.6</c:v>
                </c:pt>
                <c:pt idx="3">
                  <c:v>-5.4</c:v>
                </c:pt>
                <c:pt idx="4">
                  <c:v>-5.2</c:v>
                </c:pt>
                <c:pt idx="5">
                  <c:v>-5</c:v>
                </c:pt>
                <c:pt idx="6">
                  <c:v>-4.8</c:v>
                </c:pt>
                <c:pt idx="7">
                  <c:v>-4.5999999999999996</c:v>
                </c:pt>
                <c:pt idx="8">
                  <c:v>-4.4000000000000004</c:v>
                </c:pt>
                <c:pt idx="9">
                  <c:v>-4.2</c:v>
                </c:pt>
                <c:pt idx="10">
                  <c:v>-4</c:v>
                </c:pt>
                <c:pt idx="11">
                  <c:v>-3.8</c:v>
                </c:pt>
                <c:pt idx="12">
                  <c:v>-3.6</c:v>
                </c:pt>
                <c:pt idx="13">
                  <c:v>-3.4</c:v>
                </c:pt>
                <c:pt idx="14">
                  <c:v>-3.2</c:v>
                </c:pt>
                <c:pt idx="15">
                  <c:v>-3</c:v>
                </c:pt>
                <c:pt idx="16">
                  <c:v>-2.8</c:v>
                </c:pt>
                <c:pt idx="17">
                  <c:v>-2.6</c:v>
                </c:pt>
                <c:pt idx="18">
                  <c:v>-2.4</c:v>
                </c:pt>
                <c:pt idx="19">
                  <c:v>-2.2000000000000002</c:v>
                </c:pt>
                <c:pt idx="20">
                  <c:v>-2</c:v>
                </c:pt>
                <c:pt idx="21">
                  <c:v>-1.8</c:v>
                </c:pt>
                <c:pt idx="22">
                  <c:v>-1.6</c:v>
                </c:pt>
                <c:pt idx="23">
                  <c:v>-1.4</c:v>
                </c:pt>
                <c:pt idx="24">
                  <c:v>-1.2</c:v>
                </c:pt>
                <c:pt idx="25">
                  <c:v>-0.99999999999999911</c:v>
                </c:pt>
                <c:pt idx="26">
                  <c:v>-0.8</c:v>
                </c:pt>
                <c:pt idx="27">
                  <c:v>-0.6</c:v>
                </c:pt>
                <c:pt idx="28">
                  <c:v>-0.39999999999999947</c:v>
                </c:pt>
                <c:pt idx="29">
                  <c:v>-0.19999999999999929</c:v>
                </c:pt>
                <c:pt idx="30">
                  <c:v>8.8817841970012523E-16</c:v>
                </c:pt>
                <c:pt idx="31">
                  <c:v>0.2</c:v>
                </c:pt>
                <c:pt idx="32">
                  <c:v>0.4</c:v>
                </c:pt>
                <c:pt idx="33">
                  <c:v>0.60000000000000053</c:v>
                </c:pt>
                <c:pt idx="34">
                  <c:v>0.80000000000000071</c:v>
                </c:pt>
                <c:pt idx="35">
                  <c:v>1</c:v>
                </c:pt>
                <c:pt idx="36">
                  <c:v>1.2</c:v>
                </c:pt>
                <c:pt idx="37">
                  <c:v>1.4</c:v>
                </c:pt>
                <c:pt idx="38">
                  <c:v>1.6</c:v>
                </c:pt>
                <c:pt idx="39">
                  <c:v>1.8</c:v>
                </c:pt>
                <c:pt idx="40">
                  <c:v>2</c:v>
                </c:pt>
                <c:pt idx="41">
                  <c:v>2.2000000000000002</c:v>
                </c:pt>
                <c:pt idx="42">
                  <c:v>2.4</c:v>
                </c:pt>
                <c:pt idx="43">
                  <c:v>2.6</c:v>
                </c:pt>
                <c:pt idx="44">
                  <c:v>2.8</c:v>
                </c:pt>
                <c:pt idx="45">
                  <c:v>3</c:v>
                </c:pt>
                <c:pt idx="46">
                  <c:v>3.2</c:v>
                </c:pt>
                <c:pt idx="47">
                  <c:v>3.4</c:v>
                </c:pt>
                <c:pt idx="48">
                  <c:v>3.6</c:v>
                </c:pt>
                <c:pt idx="49">
                  <c:v>3.8</c:v>
                </c:pt>
                <c:pt idx="50">
                  <c:v>4</c:v>
                </c:pt>
                <c:pt idx="51">
                  <c:v>4.2</c:v>
                </c:pt>
                <c:pt idx="52">
                  <c:v>4.4000000000000004</c:v>
                </c:pt>
                <c:pt idx="53">
                  <c:v>4.5999999999999996</c:v>
                </c:pt>
                <c:pt idx="54">
                  <c:v>4.8</c:v>
                </c:pt>
                <c:pt idx="55">
                  <c:v>5</c:v>
                </c:pt>
                <c:pt idx="56">
                  <c:v>5.2</c:v>
                </c:pt>
                <c:pt idx="57">
                  <c:v>5.4</c:v>
                </c:pt>
                <c:pt idx="58">
                  <c:v>5.6</c:v>
                </c:pt>
                <c:pt idx="59">
                  <c:v>5.8</c:v>
                </c:pt>
                <c:pt idx="60">
                  <c:v>6</c:v>
                </c:pt>
              </c:numCache>
            </c:numRef>
          </c:xVal>
          <c:yVal>
            <c:numRef>
              <c:f>'Chart Data'!$B$9:$B$69</c:f>
              <c:numCache>
                <c:formatCode>0.0000000000000</c:formatCode>
                <c:ptCount val="61"/>
                <c:pt idx="0">
                  <c:v>8.4068733479572357E-11</c:v>
                </c:pt>
                <c:pt idx="1">
                  <c:v>3.1315982393182045E-10</c:v>
                </c:pt>
                <c:pt idx="2">
                  <c:v>1.1207939977185143E-9</c:v>
                </c:pt>
                <c:pt idx="3">
                  <c:v>3.8540183085648921E-9</c:v>
                </c:pt>
                <c:pt idx="4">
                  <c:v>1.2732977485152073E-8</c:v>
                </c:pt>
                <c:pt idx="5">
                  <c:v>4.0417959982587046E-8</c:v>
                </c:pt>
                <c:pt idx="6">
                  <c:v>1.23267057393868E-7</c:v>
                </c:pt>
                <c:pt idx="7">
                  <c:v>3.6120012221342811E-7</c:v>
                </c:pt>
                <c:pt idx="8">
                  <c:v>1.0168970072113419E-6</c:v>
                </c:pt>
                <c:pt idx="9">
                  <c:v>2.7506432697705447E-6</c:v>
                </c:pt>
                <c:pt idx="10">
                  <c:v>7.1485801777572017E-6</c:v>
                </c:pt>
                <c:pt idx="11">
                  <c:v>1.784980743646823E-5</c:v>
                </c:pt>
                <c:pt idx="12">
                  <c:v>4.2822843212986865E-5</c:v>
                </c:pt>
                <c:pt idx="13">
                  <c:v>9.8706484165881974E-5</c:v>
                </c:pt>
                <c:pt idx="14">
                  <c:v>2.1859694488678648E-4</c:v>
                </c:pt>
                <c:pt idx="15">
                  <c:v>4.6512610374653448E-4</c:v>
                </c:pt>
                <c:pt idx="16">
                  <c:v>9.5087966519632886E-4</c:v>
                </c:pt>
                <c:pt idx="17">
                  <c:v>1.8677064866173417E-3</c:v>
                </c:pt>
                <c:pt idx="18">
                  <c:v>3.5246817913336475E-3</c:v>
                </c:pt>
                <c:pt idx="19">
                  <c:v>6.3908617603576105E-3</c:v>
                </c:pt>
                <c:pt idx="20">
                  <c:v>1.1133383083889446E-2</c:v>
                </c:pt>
                <c:pt idx="21">
                  <c:v>1.8634729921755858E-2</c:v>
                </c:pt>
                <c:pt idx="22">
                  <c:v>2.9967276398580659E-2</c:v>
                </c:pt>
                <c:pt idx="23">
                  <c:v>4.630199086687873E-2</c:v>
                </c:pt>
                <c:pt idx="24">
                  <c:v>6.873537037088466E-2</c:v>
                </c:pt>
                <c:pt idx="25">
                  <c:v>9.8036796152451866E-2</c:v>
                </c:pt>
                <c:pt idx="26">
                  <c:v>0.13434644029960127</c:v>
                </c:pt>
                <c:pt idx="27">
                  <c:v>0.17688517598838074</c:v>
                </c:pt>
                <c:pt idx="28">
                  <c:v>0.22376127762484277</c:v>
                </c:pt>
                <c:pt idx="29">
                  <c:v>0.27196101220004981</c:v>
                </c:pt>
                <c:pt idx="30">
                  <c:v>0.31758251628187328</c:v>
                </c:pt>
                <c:pt idx="31">
                  <c:v>0.35631552276161582</c:v>
                </c:pt>
                <c:pt idx="32">
                  <c:v>0.38409718175552832</c:v>
                </c:pt>
                <c:pt idx="33">
                  <c:v>0.39781002129796517</c:v>
                </c:pt>
                <c:pt idx="34">
                  <c:v>0.39585719112785089</c:v>
                </c:pt>
                <c:pt idx="35">
                  <c:v>0.37846836050705318</c:v>
                </c:pt>
                <c:pt idx="36">
                  <c:v>0.34765528810694263</c:v>
                </c:pt>
                <c:pt idx="37">
                  <c:v>0.30682894113070353</c:v>
                </c:pt>
                <c:pt idx="38">
                  <c:v>0.26017887028891362</c:v>
                </c:pt>
                <c:pt idx="39">
                  <c:v>0.21197075498500997</c:v>
                </c:pt>
                <c:pt idx="40">
                  <c:v>0.16592357268367849</c:v>
                </c:pt>
                <c:pt idx="41">
                  <c:v>0.12478674453874006</c:v>
                </c:pt>
                <c:pt idx="42">
                  <c:v>9.0168955746875834E-2</c:v>
                </c:pt>
                <c:pt idx="43">
                  <c:v>6.2599929778258706E-2</c:v>
                </c:pt>
                <c:pt idx="44">
                  <c:v>4.1755998440468359E-2</c:v>
                </c:pt>
                <c:pt idx="45">
                  <c:v>2.6760370381898567E-2</c:v>
                </c:pt>
                <c:pt idx="46">
                  <c:v>1.6477586044784307E-2</c:v>
                </c:pt>
                <c:pt idx="47">
                  <c:v>9.7481741005364751E-3</c:v>
                </c:pt>
                <c:pt idx="48">
                  <c:v>5.5409111546125015E-3</c:v>
                </c:pt>
                <c:pt idx="49">
                  <c:v>3.0259888039907727E-3</c:v>
                </c:pt>
                <c:pt idx="50">
                  <c:v>1.5877483417014425E-3</c:v>
                </c:pt>
                <c:pt idx="51">
                  <c:v>8.0043162553727041E-4</c:v>
                </c:pt>
                <c:pt idx="52">
                  <c:v>3.876993134857232E-4</c:v>
                </c:pt>
                <c:pt idx="53">
                  <c:v>1.8042389126041695E-4</c:v>
                </c:pt>
                <c:pt idx="54">
                  <c:v>8.0671713019872814E-5</c:v>
                </c:pt>
                <c:pt idx="55">
                  <c:v>3.4655864240789359E-5</c:v>
                </c:pt>
                <c:pt idx="56">
                  <c:v>1.4304095764003314E-5</c:v>
                </c:pt>
                <c:pt idx="57">
                  <c:v>5.6724712716547116E-6</c:v>
                </c:pt>
                <c:pt idx="58">
                  <c:v>2.161286903646132E-6</c:v>
                </c:pt>
                <c:pt idx="59">
                  <c:v>7.9118994512094709E-7</c:v>
                </c:pt>
                <c:pt idx="60">
                  <c:v>2.7827700311479335E-7</c:v>
                </c:pt>
              </c:numCache>
            </c:numRef>
          </c:yVal>
          <c:smooth val="1"/>
          <c:extLst>
            <c:ext xmlns:c16="http://schemas.microsoft.com/office/drawing/2014/chart" uri="{C3380CC4-5D6E-409C-BE32-E72D297353CC}">
              <c16:uniqueId val="{00000000-CC0F-FC4F-B6B8-9BD9F87BBE84}"/>
            </c:ext>
          </c:extLst>
        </c:ser>
        <c:ser>
          <c:idx val="4"/>
          <c:order val="1"/>
          <c:tx>
            <c:v>6 Sigma</c:v>
          </c:tx>
          <c:spPr>
            <a:ln w="25400">
              <a:solidFill>
                <a:srgbClr val="800080"/>
              </a:solidFill>
              <a:prstDash val="solid"/>
            </a:ln>
          </c:spPr>
          <c:marker>
            <c:symbol val="none"/>
          </c:marker>
          <c:xVal>
            <c:numRef>
              <c:f>'Chart Data'!$A$9:$A$69</c:f>
              <c:numCache>
                <c:formatCode>0.0</c:formatCode>
                <c:ptCount val="61"/>
                <c:pt idx="0">
                  <c:v>-6</c:v>
                </c:pt>
                <c:pt idx="1">
                  <c:v>-5.8</c:v>
                </c:pt>
                <c:pt idx="2">
                  <c:v>-5.6</c:v>
                </c:pt>
                <c:pt idx="3">
                  <c:v>-5.4</c:v>
                </c:pt>
                <c:pt idx="4">
                  <c:v>-5.2</c:v>
                </c:pt>
                <c:pt idx="5">
                  <c:v>-5</c:v>
                </c:pt>
                <c:pt idx="6">
                  <c:v>-4.8</c:v>
                </c:pt>
                <c:pt idx="7">
                  <c:v>-4.5999999999999996</c:v>
                </c:pt>
                <c:pt idx="8">
                  <c:v>-4.4000000000000004</c:v>
                </c:pt>
                <c:pt idx="9">
                  <c:v>-4.2</c:v>
                </c:pt>
                <c:pt idx="10">
                  <c:v>-4</c:v>
                </c:pt>
                <c:pt idx="11">
                  <c:v>-3.8</c:v>
                </c:pt>
                <c:pt idx="12">
                  <c:v>-3.6</c:v>
                </c:pt>
                <c:pt idx="13">
                  <c:v>-3.4</c:v>
                </c:pt>
                <c:pt idx="14">
                  <c:v>-3.2</c:v>
                </c:pt>
                <c:pt idx="15">
                  <c:v>-3</c:v>
                </c:pt>
                <c:pt idx="16">
                  <c:v>-2.8</c:v>
                </c:pt>
                <c:pt idx="17">
                  <c:v>-2.6</c:v>
                </c:pt>
                <c:pt idx="18">
                  <c:v>-2.4</c:v>
                </c:pt>
                <c:pt idx="19">
                  <c:v>-2.2000000000000002</c:v>
                </c:pt>
                <c:pt idx="20">
                  <c:v>-2</c:v>
                </c:pt>
                <c:pt idx="21">
                  <c:v>-1.8</c:v>
                </c:pt>
                <c:pt idx="22">
                  <c:v>-1.6</c:v>
                </c:pt>
                <c:pt idx="23">
                  <c:v>-1.4</c:v>
                </c:pt>
                <c:pt idx="24">
                  <c:v>-1.2</c:v>
                </c:pt>
                <c:pt idx="25">
                  <c:v>-0.99999999999999911</c:v>
                </c:pt>
                <c:pt idx="26">
                  <c:v>-0.8</c:v>
                </c:pt>
                <c:pt idx="27">
                  <c:v>-0.6</c:v>
                </c:pt>
                <c:pt idx="28">
                  <c:v>-0.39999999999999947</c:v>
                </c:pt>
                <c:pt idx="29">
                  <c:v>-0.19999999999999929</c:v>
                </c:pt>
                <c:pt idx="30">
                  <c:v>8.8817841970012523E-16</c:v>
                </c:pt>
                <c:pt idx="31">
                  <c:v>0.2</c:v>
                </c:pt>
                <c:pt idx="32">
                  <c:v>0.4</c:v>
                </c:pt>
                <c:pt idx="33">
                  <c:v>0.60000000000000053</c:v>
                </c:pt>
                <c:pt idx="34">
                  <c:v>0.80000000000000071</c:v>
                </c:pt>
                <c:pt idx="35">
                  <c:v>1</c:v>
                </c:pt>
                <c:pt idx="36">
                  <c:v>1.2</c:v>
                </c:pt>
                <c:pt idx="37">
                  <c:v>1.4</c:v>
                </c:pt>
                <c:pt idx="38">
                  <c:v>1.6</c:v>
                </c:pt>
                <c:pt idx="39">
                  <c:v>1.8</c:v>
                </c:pt>
                <c:pt idx="40">
                  <c:v>2</c:v>
                </c:pt>
                <c:pt idx="41">
                  <c:v>2.2000000000000002</c:v>
                </c:pt>
                <c:pt idx="42">
                  <c:v>2.4</c:v>
                </c:pt>
                <c:pt idx="43">
                  <c:v>2.6</c:v>
                </c:pt>
                <c:pt idx="44">
                  <c:v>2.8</c:v>
                </c:pt>
                <c:pt idx="45">
                  <c:v>3</c:v>
                </c:pt>
                <c:pt idx="46">
                  <c:v>3.2</c:v>
                </c:pt>
                <c:pt idx="47">
                  <c:v>3.4</c:v>
                </c:pt>
                <c:pt idx="48">
                  <c:v>3.6</c:v>
                </c:pt>
                <c:pt idx="49">
                  <c:v>3.8</c:v>
                </c:pt>
                <c:pt idx="50">
                  <c:v>4</c:v>
                </c:pt>
                <c:pt idx="51">
                  <c:v>4.2</c:v>
                </c:pt>
                <c:pt idx="52">
                  <c:v>4.4000000000000004</c:v>
                </c:pt>
                <c:pt idx="53">
                  <c:v>4.5999999999999996</c:v>
                </c:pt>
                <c:pt idx="54">
                  <c:v>4.8</c:v>
                </c:pt>
                <c:pt idx="55">
                  <c:v>5</c:v>
                </c:pt>
                <c:pt idx="56">
                  <c:v>5.2</c:v>
                </c:pt>
                <c:pt idx="57">
                  <c:v>5.4</c:v>
                </c:pt>
                <c:pt idx="58">
                  <c:v>5.6</c:v>
                </c:pt>
                <c:pt idx="59">
                  <c:v>5.8</c:v>
                </c:pt>
                <c:pt idx="60">
                  <c:v>6</c:v>
                </c:pt>
              </c:numCache>
            </c:numRef>
          </c:xVal>
          <c:yVal>
            <c:numRef>
              <c:f>'Chart Data'!$F$9:$F$69</c:f>
              <c:numCache>
                <c:formatCode>General</c:formatCode>
                <c:ptCount val="61"/>
                <c:pt idx="0">
                  <c:v>1.0929943534871975E-5</c:v>
                </c:pt>
                <c:pt idx="1">
                  <c:v>2.0318993932394624E-5</c:v>
                </c:pt>
                <c:pt idx="2">
                  <c:v>3.7067715224701E-5</c:v>
                </c:pt>
                <c:pt idx="3">
                  <c:v>6.6358837614391805E-5</c:v>
                </c:pt>
                <c:pt idx="4">
                  <c:v>1.1657651204166687E-4</c:v>
                </c:pt>
                <c:pt idx="5">
                  <c:v>2.0097066944091944E-4</c:v>
                </c:pt>
                <c:pt idx="6">
                  <c:v>3.3998803711285917E-4</c:v>
                </c:pt>
                <c:pt idx="7">
                  <c:v>5.6442199316157908E-4</c:v>
                </c:pt>
                <c:pt idx="8">
                  <c:v>9.1950385616255048E-4</c:v>
                </c:pt>
                <c:pt idx="9">
                  <c:v>1.4699836918995637E-3</c:v>
                </c:pt>
                <c:pt idx="10">
                  <c:v>2.3061142181553156E-3</c:v>
                </c:pt>
                <c:pt idx="11">
                  <c:v>3.5502459859176991E-3</c:v>
                </c:pt>
                <c:pt idx="12">
                  <c:v>5.3634645150995178E-3</c:v>
                </c:pt>
                <c:pt idx="13">
                  <c:v>7.9513654282702372E-3</c:v>
                </c:pt>
                <c:pt idx="14">
                  <c:v>1.1567708861116476E-2</c:v>
                </c:pt>
                <c:pt idx="15">
                  <c:v>1.6514381804972784E-2</c:v>
                </c:pt>
                <c:pt idx="16">
                  <c:v>2.3135912195993646E-2</c:v>
                </c:pt>
                <c:pt idx="17">
                  <c:v>3.1806821285189718E-2</c:v>
                </c:pt>
                <c:pt idx="18">
                  <c:v>4.2910467382105931E-2</c:v>
                </c:pt>
                <c:pt idx="19">
                  <c:v>5.6808792217144459E-2</c:v>
                </c:pt>
                <c:pt idx="20">
                  <c:v>7.3803541498368458E-2</c:v>
                </c:pt>
                <c:pt idx="21">
                  <c:v>9.4091021435078775E-2</c:v>
                </c:pt>
                <c:pt idx="22">
                  <c:v>0.11771410342501423</c:v>
                </c:pt>
                <c:pt idx="23">
                  <c:v>0.14451673794674622</c:v>
                </c:pt>
                <c:pt idx="24">
                  <c:v>0.17410736222529655</c:v>
                </c:pt>
                <c:pt idx="25">
                  <c:v>0.20583795412483935</c:v>
                </c:pt>
                <c:pt idx="26">
                  <c:v>0.23880483324917731</c:v>
                </c:pt>
                <c:pt idx="27">
                  <c:v>0.27187551879527683</c:v>
                </c:pt>
                <c:pt idx="28">
                  <c:v>0.30374310529529197</c:v>
                </c:pt>
                <c:pt idx="29">
                  <c:v>0.33300602344227198</c:v>
                </c:pt>
                <c:pt idx="30">
                  <c:v>0.35826722890724239</c:v>
                </c:pt>
                <c:pt idx="31">
                  <c:v>0.37824344900820539</c:v>
                </c:pt>
                <c:pt idx="32">
                  <c:v>0.39187276418049688</c:v>
                </c:pt>
                <c:pt idx="33">
                  <c:v>0.3984080276685914</c:v>
                </c:pt>
                <c:pt idx="34">
                  <c:v>0.39748469942846781</c:v>
                </c:pt>
                <c:pt idx="35">
                  <c:v>0.38915452612882351</c:v>
                </c:pt>
                <c:pt idx="36">
                  <c:v>0.37388073779718639</c:v>
                </c:pt>
                <c:pt idx="37">
                  <c:v>0.35249538145434184</c:v>
                </c:pt>
                <c:pt idx="38">
                  <c:v>0.3261242595080851</c:v>
                </c:pt>
                <c:pt idx="39">
                  <c:v>0.29608889274580813</c:v>
                </c:pt>
                <c:pt idx="40">
                  <c:v>0.26379736958482625</c:v>
                </c:pt>
                <c:pt idx="41">
                  <c:v>0.23063655398641625</c:v>
                </c:pt>
                <c:pt idx="42">
                  <c:v>0.19787692608291141</c:v>
                </c:pt>
                <c:pt idx="43">
                  <c:v>0.16659866034914719</c:v>
                </c:pt>
                <c:pt idx="44">
                  <c:v>0.13764396972727233</c:v>
                </c:pt>
                <c:pt idx="45">
                  <c:v>0.11159692010356177</c:v>
                </c:pt>
                <c:pt idx="46">
                  <c:v>8.8788468176573501E-2</c:v>
                </c:pt>
                <c:pt idx="47">
                  <c:v>6.9321867320602415E-2</c:v>
                </c:pt>
                <c:pt idx="48">
                  <c:v>5.3112076001502161E-2</c:v>
                </c:pt>
                <c:pt idx="49">
                  <c:v>3.9932420559702426E-2</c:v>
                </c:pt>
                <c:pt idx="50">
                  <c:v>2.9462346344928857E-2</c:v>
                </c:pt>
                <c:pt idx="51">
                  <c:v>2.1331350890243586E-2</c:v>
                </c:pt>
                <c:pt idx="52">
                  <c:v>1.515579505138461E-2</c:v>
                </c:pt>
                <c:pt idx="53">
                  <c:v>1.0566920080278958E-2</c:v>
                </c:pt>
                <c:pt idx="54">
                  <c:v>7.2298195318443378E-3</c:v>
                </c:pt>
                <c:pt idx="55">
                  <c:v>4.8541794305276345E-3</c:v>
                </c:pt>
                <c:pt idx="56">
                  <c:v>3.1982582543928235E-3</c:v>
                </c:pt>
                <c:pt idx="57">
                  <c:v>2.0678573133370969E-3</c:v>
                </c:pt>
                <c:pt idx="58">
                  <c:v>1.3120093857856196E-3</c:v>
                </c:pt>
                <c:pt idx="59">
                  <c:v>8.1688825233093272E-4</c:v>
                </c:pt>
                <c:pt idx="60">
                  <c:v>4.9911163509227825E-4</c:v>
                </c:pt>
              </c:numCache>
            </c:numRef>
          </c:yVal>
          <c:smooth val="1"/>
          <c:extLst>
            <c:ext xmlns:c16="http://schemas.microsoft.com/office/drawing/2014/chart" uri="{C3380CC4-5D6E-409C-BE32-E72D297353CC}">
              <c16:uniqueId val="{00000001-CC0F-FC4F-B6B8-9BD9F87BBE84}"/>
            </c:ext>
          </c:extLst>
        </c:ser>
        <c:ser>
          <c:idx val="1"/>
          <c:order val="2"/>
          <c:tx>
            <c:v>Measured Data</c:v>
          </c:tx>
          <c:spPr>
            <a:ln w="25400">
              <a:solidFill>
                <a:srgbClr val="FF00FF"/>
              </a:solidFill>
              <a:prstDash val="solid"/>
            </a:ln>
          </c:spPr>
          <c:marker>
            <c:symbol val="none"/>
          </c:marker>
          <c:xVal>
            <c:numRef>
              <c:f>'Chart Data'!$A$9:$A$69</c:f>
              <c:numCache>
                <c:formatCode>0.0</c:formatCode>
                <c:ptCount val="61"/>
                <c:pt idx="0">
                  <c:v>-6</c:v>
                </c:pt>
                <c:pt idx="1">
                  <c:v>-5.8</c:v>
                </c:pt>
                <c:pt idx="2">
                  <c:v>-5.6</c:v>
                </c:pt>
                <c:pt idx="3">
                  <c:v>-5.4</c:v>
                </c:pt>
                <c:pt idx="4">
                  <c:v>-5.2</c:v>
                </c:pt>
                <c:pt idx="5">
                  <c:v>-5</c:v>
                </c:pt>
                <c:pt idx="6">
                  <c:v>-4.8</c:v>
                </c:pt>
                <c:pt idx="7">
                  <c:v>-4.5999999999999996</c:v>
                </c:pt>
                <c:pt idx="8">
                  <c:v>-4.4000000000000004</c:v>
                </c:pt>
                <c:pt idx="9">
                  <c:v>-4.2</c:v>
                </c:pt>
                <c:pt idx="10">
                  <c:v>-4</c:v>
                </c:pt>
                <c:pt idx="11">
                  <c:v>-3.8</c:v>
                </c:pt>
                <c:pt idx="12">
                  <c:v>-3.6</c:v>
                </c:pt>
                <c:pt idx="13">
                  <c:v>-3.4</c:v>
                </c:pt>
                <c:pt idx="14">
                  <c:v>-3.2</c:v>
                </c:pt>
                <c:pt idx="15">
                  <c:v>-3</c:v>
                </c:pt>
                <c:pt idx="16">
                  <c:v>-2.8</c:v>
                </c:pt>
                <c:pt idx="17">
                  <c:v>-2.6</c:v>
                </c:pt>
                <c:pt idx="18">
                  <c:v>-2.4</c:v>
                </c:pt>
                <c:pt idx="19">
                  <c:v>-2.2000000000000002</c:v>
                </c:pt>
                <c:pt idx="20">
                  <c:v>-2</c:v>
                </c:pt>
                <c:pt idx="21">
                  <c:v>-1.8</c:v>
                </c:pt>
                <c:pt idx="22">
                  <c:v>-1.6</c:v>
                </c:pt>
                <c:pt idx="23">
                  <c:v>-1.4</c:v>
                </c:pt>
                <c:pt idx="24">
                  <c:v>-1.2</c:v>
                </c:pt>
                <c:pt idx="25">
                  <c:v>-0.99999999999999911</c:v>
                </c:pt>
                <c:pt idx="26">
                  <c:v>-0.8</c:v>
                </c:pt>
                <c:pt idx="27">
                  <c:v>-0.6</c:v>
                </c:pt>
                <c:pt idx="28">
                  <c:v>-0.39999999999999947</c:v>
                </c:pt>
                <c:pt idx="29">
                  <c:v>-0.19999999999999929</c:v>
                </c:pt>
                <c:pt idx="30">
                  <c:v>8.8817841970012523E-16</c:v>
                </c:pt>
                <c:pt idx="31">
                  <c:v>0.2</c:v>
                </c:pt>
                <c:pt idx="32">
                  <c:v>0.4</c:v>
                </c:pt>
                <c:pt idx="33">
                  <c:v>0.60000000000000053</c:v>
                </c:pt>
                <c:pt idx="34">
                  <c:v>0.80000000000000071</c:v>
                </c:pt>
                <c:pt idx="35">
                  <c:v>1</c:v>
                </c:pt>
                <c:pt idx="36">
                  <c:v>1.2</c:v>
                </c:pt>
                <c:pt idx="37">
                  <c:v>1.4</c:v>
                </c:pt>
                <c:pt idx="38">
                  <c:v>1.6</c:v>
                </c:pt>
                <c:pt idx="39">
                  <c:v>1.8</c:v>
                </c:pt>
                <c:pt idx="40">
                  <c:v>2</c:v>
                </c:pt>
                <c:pt idx="41">
                  <c:v>2.2000000000000002</c:v>
                </c:pt>
                <c:pt idx="42">
                  <c:v>2.4</c:v>
                </c:pt>
                <c:pt idx="43">
                  <c:v>2.6</c:v>
                </c:pt>
                <c:pt idx="44">
                  <c:v>2.8</c:v>
                </c:pt>
                <c:pt idx="45">
                  <c:v>3</c:v>
                </c:pt>
                <c:pt idx="46">
                  <c:v>3.2</c:v>
                </c:pt>
                <c:pt idx="47">
                  <c:v>3.4</c:v>
                </c:pt>
                <c:pt idx="48">
                  <c:v>3.6</c:v>
                </c:pt>
                <c:pt idx="49">
                  <c:v>3.8</c:v>
                </c:pt>
                <c:pt idx="50">
                  <c:v>4</c:v>
                </c:pt>
                <c:pt idx="51">
                  <c:v>4.2</c:v>
                </c:pt>
                <c:pt idx="52">
                  <c:v>4.4000000000000004</c:v>
                </c:pt>
                <c:pt idx="53">
                  <c:v>4.5999999999999996</c:v>
                </c:pt>
                <c:pt idx="54">
                  <c:v>4.8</c:v>
                </c:pt>
                <c:pt idx="55">
                  <c:v>5</c:v>
                </c:pt>
                <c:pt idx="56">
                  <c:v>5.2</c:v>
                </c:pt>
                <c:pt idx="57">
                  <c:v>5.4</c:v>
                </c:pt>
                <c:pt idx="58">
                  <c:v>5.6</c:v>
                </c:pt>
                <c:pt idx="59">
                  <c:v>5.8</c:v>
                </c:pt>
                <c:pt idx="60">
                  <c:v>6</c:v>
                </c:pt>
              </c:numCache>
            </c:numRef>
          </c:xVal>
          <c:yVal>
            <c:numRef>
              <c:f>'Chart Data'!$G$9:$G$69</c:f>
              <c:numCache>
                <c:formatCode>General</c:formatCode>
                <c:ptCount val="61"/>
                <c:pt idx="0">
                  <c:v>7.6416564974700993E-10</c:v>
                </c:pt>
                <c:pt idx="1">
                  <c:v>3.3557449367529351E-9</c:v>
                </c:pt>
                <c:pt idx="2">
                  <c:v>1.3924875881102522E-8</c:v>
                </c:pt>
                <c:pt idx="3">
                  <c:v>5.4600256045336772E-8</c:v>
                </c:pt>
                <c:pt idx="4">
                  <c:v>2.0230144419750259E-7</c:v>
                </c:pt>
                <c:pt idx="5">
                  <c:v>7.0827880238493183E-7</c:v>
                </c:pt>
                <c:pt idx="6">
                  <c:v>2.3432059568007797E-6</c:v>
                </c:pt>
                <c:pt idx="7">
                  <c:v>7.3251688256376189E-6</c:v>
                </c:pt>
                <c:pt idx="8">
                  <c:v>2.1638431229088735E-5</c:v>
                </c:pt>
                <c:pt idx="9">
                  <c:v>6.0399711178827378E-5</c:v>
                </c:pt>
                <c:pt idx="10">
                  <c:v>1.5931068668168798E-4</c:v>
                </c:pt>
                <c:pt idx="11">
                  <c:v>3.9705979549613132E-4</c:v>
                </c:pt>
                <c:pt idx="12">
                  <c:v>9.3512114385784178E-4</c:v>
                </c:pt>
                <c:pt idx="13">
                  <c:v>2.0810417659176757E-3</c:v>
                </c:pt>
                <c:pt idx="14">
                  <c:v>4.3761749253355244E-3</c:v>
                </c:pt>
                <c:pt idx="15">
                  <c:v>8.6957992993657845E-3</c:v>
                </c:pt>
                <c:pt idx="16">
                  <c:v>1.6327710787585527E-2</c:v>
                </c:pt>
                <c:pt idx="17">
                  <c:v>2.8969569934308707E-2</c:v>
                </c:pt>
                <c:pt idx="18">
                  <c:v>4.856906624487245E-2</c:v>
                </c:pt>
                <c:pt idx="19">
                  <c:v>7.6944648061487084E-2</c:v>
                </c:pt>
                <c:pt idx="20">
                  <c:v>0.11518556006829446</c:v>
                </c:pt>
                <c:pt idx="21">
                  <c:v>0.16293658752750276</c:v>
                </c:pt>
                <c:pt idx="22">
                  <c:v>0.21779111172018165</c:v>
                </c:pt>
                <c:pt idx="23">
                  <c:v>0.27508229846971621</c:v>
                </c:pt>
                <c:pt idx="24">
                  <c:v>0.32831149933691173</c:v>
                </c:pt>
                <c:pt idx="25">
                  <c:v>0.37026315870167681</c:v>
                </c:pt>
                <c:pt idx="26">
                  <c:v>0.39458072493930213</c:v>
                </c:pt>
                <c:pt idx="27">
                  <c:v>0.39733990929175078</c:v>
                </c:pt>
                <c:pt idx="28">
                  <c:v>0.37808501728803784</c:v>
                </c:pt>
                <c:pt idx="29">
                  <c:v>0.33995208102879243</c:v>
                </c:pt>
                <c:pt idx="30">
                  <c:v>0.2888330577205962</c:v>
                </c:pt>
                <c:pt idx="31">
                  <c:v>0.2318873454990055</c:v>
                </c:pt>
                <c:pt idx="32">
                  <c:v>0.17591714070184095</c:v>
                </c:pt>
                <c:pt idx="33">
                  <c:v>0.12610729881182167</c:v>
                </c:pt>
                <c:pt idx="34">
                  <c:v>8.5422690579466234E-2</c:v>
                </c:pt>
                <c:pt idx="35">
                  <c:v>5.4677320910459376E-2</c:v>
                </c:pt>
                <c:pt idx="36">
                  <c:v>3.3070606859514316E-2</c:v>
                </c:pt>
                <c:pt idx="37">
                  <c:v>1.8900707425577663E-2</c:v>
                </c:pt>
                <c:pt idx="38">
                  <c:v>1.020739477941617E-2</c:v>
                </c:pt>
                <c:pt idx="39">
                  <c:v>5.2089803773826531E-3</c:v>
                </c:pt>
                <c:pt idx="40">
                  <c:v>2.5118372020212078E-3</c:v>
                </c:pt>
                <c:pt idx="41">
                  <c:v>1.1445406255232039E-3</c:v>
                </c:pt>
                <c:pt idx="42">
                  <c:v>4.9280135596118453E-4</c:v>
                </c:pt>
                <c:pt idx="43">
                  <c:v>2.0049961036885719E-4</c:v>
                </c:pt>
                <c:pt idx="44">
                  <c:v>7.7082559914379148E-5</c:v>
                </c:pt>
                <c:pt idx="45">
                  <c:v>2.8002685486577773E-5</c:v>
                </c:pt>
                <c:pt idx="46">
                  <c:v>9.6126735423338693E-6</c:v>
                </c:pt>
                <c:pt idx="47">
                  <c:v>3.1180972878733764E-6</c:v>
                </c:pt>
                <c:pt idx="48">
                  <c:v>9.557319109165366E-7</c:v>
                </c:pt>
                <c:pt idx="49">
                  <c:v>2.7681107989885252E-7</c:v>
                </c:pt>
                <c:pt idx="50">
                  <c:v>7.5758577184765505E-8</c:v>
                </c:pt>
                <c:pt idx="51">
                  <c:v>1.9592105329826058E-8</c:v>
                </c:pt>
                <c:pt idx="52">
                  <c:v>4.7877488604753795E-9</c:v>
                </c:pt>
                <c:pt idx="53">
                  <c:v>1.1055606524813212E-9</c:v>
                </c:pt>
                <c:pt idx="54">
                  <c:v>2.4123190295298556E-10</c:v>
                </c:pt>
                <c:pt idx="55">
                  <c:v>4.9737948615927E-11</c:v>
                </c:pt>
                <c:pt idx="56">
                  <c:v>9.6904055555599663E-12</c:v>
                </c:pt>
                <c:pt idx="57">
                  <c:v>1.7840088085327191E-12</c:v>
                </c:pt>
                <c:pt idx="58">
                  <c:v>3.1035088835365892E-13</c:v>
                </c:pt>
                <c:pt idx="59">
                  <c:v>5.1016416389135184E-14</c:v>
                </c:pt>
                <c:pt idx="60">
                  <c:v>7.924426867101814E-15</c:v>
                </c:pt>
              </c:numCache>
            </c:numRef>
          </c:yVal>
          <c:smooth val="1"/>
          <c:extLst>
            <c:ext xmlns:c16="http://schemas.microsoft.com/office/drawing/2014/chart" uri="{C3380CC4-5D6E-409C-BE32-E72D297353CC}">
              <c16:uniqueId val="{00000002-CC0F-FC4F-B6B8-9BD9F87BBE84}"/>
            </c:ext>
          </c:extLst>
        </c:ser>
        <c:ser>
          <c:idx val="2"/>
          <c:order val="3"/>
          <c:tx>
            <c:v>UL</c:v>
          </c:tx>
          <c:spPr>
            <a:ln w="25400">
              <a:solidFill>
                <a:srgbClr val="0000D4"/>
              </a:solidFill>
              <a:prstDash val="solid"/>
            </a:ln>
          </c:spPr>
          <c:marker>
            <c:symbol val="none"/>
          </c:marker>
          <c:xVal>
            <c:numRef>
              <c:f>'Chart Data'!$J$50:$J$51</c:f>
              <c:numCache>
                <c:formatCode>0.000000</c:formatCode>
                <c:ptCount val="2"/>
                <c:pt idx="0">
                  <c:v>2.0261843976747489</c:v>
                </c:pt>
                <c:pt idx="1">
                  <c:v>2.0261843976747489</c:v>
                </c:pt>
              </c:numCache>
            </c:numRef>
          </c:xVal>
          <c:yVal>
            <c:numRef>
              <c:f>'Chart Data'!$L$50:$L$51</c:f>
              <c:numCache>
                <c:formatCode>General</c:formatCode>
                <c:ptCount val="2"/>
                <c:pt idx="0">
                  <c:v>0</c:v>
                </c:pt>
                <c:pt idx="1">
                  <c:v>0.4</c:v>
                </c:pt>
              </c:numCache>
            </c:numRef>
          </c:yVal>
          <c:smooth val="1"/>
          <c:extLst>
            <c:ext xmlns:c16="http://schemas.microsoft.com/office/drawing/2014/chart" uri="{C3380CC4-5D6E-409C-BE32-E72D297353CC}">
              <c16:uniqueId val="{00000003-CC0F-FC4F-B6B8-9BD9F87BBE84}"/>
            </c:ext>
          </c:extLst>
        </c:ser>
        <c:ser>
          <c:idx val="3"/>
          <c:order val="4"/>
          <c:tx>
            <c:v>LL</c:v>
          </c:tx>
          <c:spPr>
            <a:ln w="25400">
              <a:solidFill>
                <a:srgbClr val="F20884"/>
              </a:solidFill>
              <a:prstDash val="solid"/>
            </a:ln>
          </c:spPr>
          <c:marker>
            <c:symbol val="none"/>
          </c:marker>
          <c:xVal>
            <c:numRef>
              <c:f>'Chart Data'!$J$52:$J$53</c:f>
              <c:numCache>
                <c:formatCode>0.000000</c:formatCode>
                <c:ptCount val="2"/>
                <c:pt idx="0">
                  <c:v>-2.026184397674764</c:v>
                </c:pt>
                <c:pt idx="1">
                  <c:v>-2.026184397674764</c:v>
                </c:pt>
              </c:numCache>
            </c:numRef>
          </c:xVal>
          <c:yVal>
            <c:numRef>
              <c:f>'Chart Data'!$L$52:$L$53</c:f>
              <c:numCache>
                <c:formatCode>General</c:formatCode>
                <c:ptCount val="2"/>
                <c:pt idx="0">
                  <c:v>0</c:v>
                </c:pt>
                <c:pt idx="1">
                  <c:v>0.4</c:v>
                </c:pt>
              </c:numCache>
            </c:numRef>
          </c:yVal>
          <c:smooth val="1"/>
          <c:extLst>
            <c:ext xmlns:c16="http://schemas.microsoft.com/office/drawing/2014/chart" uri="{C3380CC4-5D6E-409C-BE32-E72D297353CC}">
              <c16:uniqueId val="{00000004-CC0F-FC4F-B6B8-9BD9F87BBE84}"/>
            </c:ext>
          </c:extLst>
        </c:ser>
        <c:dLbls>
          <c:showLegendKey val="0"/>
          <c:showVal val="0"/>
          <c:showCatName val="0"/>
          <c:showSerName val="0"/>
          <c:showPercent val="0"/>
          <c:showBubbleSize val="0"/>
        </c:dLbls>
        <c:axId val="-2138413864"/>
        <c:axId val="-2138405256"/>
      </c:scatterChart>
      <c:valAx>
        <c:axId val="-2138413864"/>
        <c:scaling>
          <c:orientation val="minMax"/>
          <c:max val="6"/>
          <c:min val="-6"/>
        </c:scaling>
        <c:delete val="0"/>
        <c:axPos val="b"/>
        <c:majorGridlines>
          <c:spPr>
            <a:ln w="3175">
              <a:solidFill>
                <a:srgbClr val="000000"/>
              </a:solidFill>
              <a:prstDash val="solid"/>
            </a:ln>
          </c:spPr>
        </c:majorGridlines>
        <c:title>
          <c:tx>
            <c:rich>
              <a:bodyPr/>
              <a:lstStyle/>
              <a:p>
                <a:pPr>
                  <a:defRPr sz="1100" b="1" i="0" u="none" strike="noStrike" baseline="0">
                    <a:solidFill>
                      <a:srgbClr val="000000"/>
                    </a:solidFill>
                    <a:latin typeface="Helvetica"/>
                    <a:ea typeface="Helvetica"/>
                    <a:cs typeface="Helvetica"/>
                  </a:defRPr>
                </a:pPr>
                <a:r>
                  <a:rPr lang="en-US" sz="1100" b="1" i="0" u="none" strike="noStrike" baseline="0">
                    <a:solidFill>
                      <a:srgbClr val="000000"/>
                    </a:solidFill>
                    <a:latin typeface="Helvetica"/>
                    <a:ea typeface="Helvetica"/>
                    <a:cs typeface="Helvetica"/>
                  </a:rPr>
                  <a:t>Deviation from Mean (</a:t>
                </a:r>
                <a:r>
                  <a:rPr lang="en-US" sz="1625" b="1" i="0" u="none" strike="noStrike" baseline="0">
                    <a:solidFill>
                      <a:srgbClr val="000000"/>
                    </a:solidFill>
                    <a:latin typeface="Symbol"/>
                    <a:ea typeface="Symbol"/>
                    <a:cs typeface="Symbol"/>
                  </a:rPr>
                  <a:t>s</a:t>
                </a:r>
                <a:r>
                  <a:rPr lang="en-US" sz="1200" b="0" i="0" u="none" strike="noStrike" baseline="0">
                    <a:latin typeface="Calibri"/>
                    <a:ea typeface="Calibri"/>
                    <a:cs typeface="Calibri"/>
                  </a:rPr>
                  <a:t>rss units)</a:t>
                </a:r>
              </a:p>
            </c:rich>
          </c:tx>
          <c:layout>
            <c:manualLayout>
              <c:xMode val="edge"/>
              <c:yMode val="edge"/>
              <c:x val="0.35433079380565102"/>
              <c:y val="0.91540717979431696"/>
            </c:manualLayout>
          </c:layout>
          <c:overlay val="0"/>
          <c:spPr>
            <a:noFill/>
            <a:ln w="25400">
              <a:noFill/>
            </a:ln>
          </c:spPr>
        </c:title>
        <c:numFmt formatCode="0.0" sourceLinked="1"/>
        <c:majorTickMark val="out"/>
        <c:minorTickMark val="out"/>
        <c:tickLblPos val="nextTo"/>
        <c:spPr>
          <a:ln w="3175">
            <a:solidFill>
              <a:srgbClr val="000000"/>
            </a:solidFill>
            <a:prstDash val="solid"/>
          </a:ln>
        </c:spPr>
        <c:txPr>
          <a:bodyPr rot="0" vert="horz"/>
          <a:lstStyle/>
          <a:p>
            <a:pPr>
              <a:defRPr sz="1100" b="0" i="0" u="none" strike="noStrike" baseline="0">
                <a:solidFill>
                  <a:srgbClr val="000000"/>
                </a:solidFill>
                <a:latin typeface="Helvetica"/>
                <a:ea typeface="Helvetica"/>
                <a:cs typeface="Helvetica"/>
              </a:defRPr>
            </a:pPr>
            <a:endParaRPr lang="en-US"/>
          </a:p>
        </c:txPr>
        <c:crossAx val="-2138405256"/>
        <c:crossesAt val="0"/>
        <c:crossBetween val="midCat"/>
      </c:valAx>
      <c:valAx>
        <c:axId val="-2138405256"/>
        <c:scaling>
          <c:orientation val="minMax"/>
        </c:scaling>
        <c:delete val="0"/>
        <c:axPos val="l"/>
        <c:majorGridlines>
          <c:spPr>
            <a:ln w="3175">
              <a:solidFill>
                <a:srgbClr val="000000"/>
              </a:solidFill>
              <a:prstDash val="solid"/>
            </a:ln>
          </c:spPr>
        </c:majorGridlines>
        <c:title>
          <c:tx>
            <c:rich>
              <a:bodyPr/>
              <a:lstStyle/>
              <a:p>
                <a:pPr>
                  <a:defRPr sz="1175" b="1" i="0" u="none" strike="noStrike" baseline="0">
                    <a:solidFill>
                      <a:srgbClr val="000000"/>
                    </a:solidFill>
                    <a:latin typeface="Helvetica"/>
                    <a:ea typeface="Helvetica"/>
                    <a:cs typeface="Helvetica"/>
                  </a:defRPr>
                </a:pPr>
                <a:r>
                  <a:rPr lang="en-US"/>
                  <a:t>Frequency</a:t>
                </a:r>
              </a:p>
            </c:rich>
          </c:tx>
          <c:layout>
            <c:manualLayout>
              <c:xMode val="edge"/>
              <c:yMode val="edge"/>
              <c:x val="1.18110264601884E-2"/>
              <c:y val="0.43504499633789301"/>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Helvetica"/>
                <a:ea typeface="Helvetica"/>
                <a:cs typeface="Helvetica"/>
              </a:defRPr>
            </a:pPr>
            <a:endParaRPr lang="en-US"/>
          </a:p>
        </c:txPr>
        <c:crossAx val="-2138413864"/>
        <c:crossesAt val="-6"/>
        <c:crossBetween val="midCat"/>
      </c:valAx>
      <c:spPr>
        <a:solidFill>
          <a:srgbClr val="FFFFCC"/>
        </a:solidFill>
        <a:ln w="12700">
          <a:solidFill>
            <a:srgbClr val="808080"/>
          </a:solidFill>
          <a:prstDash val="solid"/>
        </a:ln>
      </c:spPr>
    </c:plotArea>
    <c:legend>
      <c:legendPos val="t"/>
      <c:layout>
        <c:manualLayout>
          <c:xMode val="edge"/>
          <c:yMode val="edge"/>
          <c:x val="0.17125988367273101"/>
          <c:y val="0.12084583231608099"/>
          <c:w val="0.62598440238998299"/>
          <c:h val="5.7401770350138701E-2"/>
        </c:manualLayout>
      </c:layout>
      <c:overlay val="0"/>
      <c:spPr>
        <a:solidFill>
          <a:srgbClr val="FFFFFF"/>
        </a:solidFill>
        <a:ln w="3175">
          <a:solidFill>
            <a:srgbClr val="000000"/>
          </a:solidFill>
          <a:prstDash val="solid"/>
        </a:ln>
      </c:spPr>
      <c:txPr>
        <a:bodyPr/>
        <a:lstStyle/>
        <a:p>
          <a:pPr>
            <a:defRPr sz="1080" b="0" i="0" u="none" strike="noStrike" baseline="0">
              <a:solidFill>
                <a:srgbClr val="000000"/>
              </a:solidFill>
              <a:latin typeface="Helvetica"/>
              <a:ea typeface="Helvetica"/>
              <a:cs typeface="Helvetica"/>
            </a:defRPr>
          </a:pPr>
          <a:endParaRPr lang="en-US"/>
        </a:p>
      </c:txPr>
    </c:legend>
    <c:plotVisOnly val="1"/>
    <c:dispBlanksAs val="gap"/>
    <c:showDLblsOverMax val="0"/>
  </c:chart>
  <c:spPr>
    <a:solidFill>
      <a:srgbClr val="FFFFFF"/>
    </a:solidFill>
    <a:ln w="38100">
      <a:solidFill>
        <a:srgbClr val="CC99FF"/>
      </a:solidFill>
      <a:prstDash val="solid"/>
    </a:ln>
  </c:spPr>
  <c:txPr>
    <a:bodyPr/>
    <a:lstStyle/>
    <a:p>
      <a:pPr>
        <a:defRPr sz="1100" b="0" i="0" u="none" strike="noStrike" baseline="0">
          <a:solidFill>
            <a:srgbClr val="000000"/>
          </a:solidFill>
          <a:latin typeface="Helvetica"/>
          <a:ea typeface="Helvetica"/>
          <a:cs typeface="Helvetica"/>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114300</xdr:colOff>
      <xdr:row>28</xdr:row>
      <xdr:rowOff>165100</xdr:rowOff>
    </xdr:from>
    <xdr:to>
      <xdr:col>19</xdr:col>
      <xdr:colOff>0</xdr:colOff>
      <xdr:row>53</xdr:row>
      <xdr:rowOff>12700</xdr:rowOff>
    </xdr:to>
    <xdr:graphicFrame macro="">
      <xdr:nvGraphicFramePr>
        <xdr:cNvPr id="1042" name="Chart 18">
          <a:extLst>
            <a:ext uri="{FF2B5EF4-FFF2-40B4-BE49-F238E27FC236}">
              <a16:creationId xmlns:a16="http://schemas.microsoft.com/office/drawing/2014/main" id="{00000000-0008-0000-0000-00001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xmlns="">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55"/>
  <sheetViews>
    <sheetView showGridLines="0" zoomScale="80" workbookViewId="0">
      <selection activeCell="K15" sqref="K15"/>
    </sheetView>
  </sheetViews>
  <sheetFormatPr defaultColWidth="8.76171875" defaultRowHeight="12.75" x14ac:dyDescent="0.15"/>
  <cols>
    <col min="1" max="1" width="1.2109375" style="13" customWidth="1"/>
    <col min="2" max="3" width="9.4375" style="13" customWidth="1"/>
    <col min="4" max="4" width="10.11328125" style="13" customWidth="1"/>
    <col min="5" max="5" width="11.32421875" style="13" customWidth="1"/>
    <col min="6" max="6" width="10.515625" style="13" customWidth="1"/>
    <col min="7" max="7" width="11.0546875" style="13" customWidth="1"/>
    <col min="8" max="8" width="1.2109375" style="13" customWidth="1"/>
    <col min="9" max="9" width="11.8671875" style="13" customWidth="1"/>
    <col min="10" max="11" width="9.84375" style="13" customWidth="1"/>
    <col min="12" max="12" width="10.515625" style="13" customWidth="1"/>
    <col min="13" max="13" width="1.2109375" style="13" customWidth="1"/>
    <col min="14" max="14" width="10.65234375" style="13" customWidth="1"/>
    <col min="15" max="15" width="10.78515625" style="13" customWidth="1"/>
    <col min="16" max="16" width="1.2109375" style="13" customWidth="1"/>
    <col min="17" max="17" width="9.16796875" style="13" customWidth="1"/>
    <col min="18" max="18" width="11.8671875" style="13" customWidth="1"/>
    <col min="19" max="19" width="11.19140625" style="13" customWidth="1"/>
    <col min="20" max="16384" width="8.76171875" style="13"/>
  </cols>
  <sheetData>
    <row r="1" spans="2:21" ht="17.25" x14ac:dyDescent="0.2">
      <c r="B1" s="9" t="s">
        <v>112</v>
      </c>
      <c r="C1" s="10"/>
      <c r="D1" s="10"/>
      <c r="E1" s="10"/>
      <c r="F1" s="10"/>
      <c r="G1" s="10"/>
      <c r="H1" s="10"/>
      <c r="I1" s="11"/>
      <c r="J1" s="105" t="s">
        <v>62</v>
      </c>
      <c r="K1" s="181" t="s">
        <v>63</v>
      </c>
      <c r="L1" s="177" t="s">
        <v>68</v>
      </c>
      <c r="M1" s="12"/>
      <c r="O1" s="14"/>
      <c r="P1" s="14"/>
      <c r="Q1" s="14"/>
      <c r="R1" s="14"/>
      <c r="S1" s="14"/>
    </row>
    <row r="2" spans="2:21" ht="15" customHeight="1" x14ac:dyDescent="0.2">
      <c r="B2" s="96" t="s">
        <v>41</v>
      </c>
      <c r="C2" s="97"/>
      <c r="D2" s="97"/>
      <c r="E2" s="97" t="s">
        <v>72</v>
      </c>
      <c r="F2" s="97" t="s">
        <v>71</v>
      </c>
      <c r="G2" s="98"/>
      <c r="H2" s="99"/>
      <c r="I2" s="100"/>
      <c r="J2" s="239" t="s">
        <v>30</v>
      </c>
      <c r="K2" s="240"/>
      <c r="L2" s="102"/>
      <c r="M2" s="101"/>
      <c r="N2" s="103" t="s">
        <v>121</v>
      </c>
      <c r="O2" s="104"/>
      <c r="P2" s="16"/>
      <c r="Q2" s="103" t="s">
        <v>11</v>
      </c>
      <c r="R2" s="16"/>
      <c r="S2" s="15"/>
    </row>
    <row r="3" spans="2:21" ht="18.75" x14ac:dyDescent="0.25">
      <c r="B3" s="105" t="s">
        <v>8</v>
      </c>
      <c r="C3" s="106" t="s">
        <v>9</v>
      </c>
      <c r="D3" s="107" t="s">
        <v>110</v>
      </c>
      <c r="E3" s="17" t="s">
        <v>10</v>
      </c>
      <c r="F3" s="108" t="s">
        <v>119</v>
      </c>
      <c r="G3" s="200" t="s">
        <v>48</v>
      </c>
      <c r="H3" s="18"/>
      <c r="I3" s="106" t="s">
        <v>43</v>
      </c>
      <c r="J3" s="106" t="s">
        <v>44</v>
      </c>
      <c r="K3" s="109" t="s">
        <v>45</v>
      </c>
      <c r="L3" s="201" t="s">
        <v>48</v>
      </c>
      <c r="M3" s="19"/>
      <c r="N3" s="106" t="s">
        <v>24</v>
      </c>
      <c r="O3" s="202" t="s">
        <v>48</v>
      </c>
      <c r="P3" s="5"/>
      <c r="Q3" s="135"/>
      <c r="R3" s="136" t="s">
        <v>27</v>
      </c>
      <c r="S3" s="137" t="s">
        <v>29</v>
      </c>
    </row>
    <row r="4" spans="2:21" ht="15.75" x14ac:dyDescent="0.2">
      <c r="B4" s="110" t="s">
        <v>12</v>
      </c>
      <c r="C4" s="111">
        <v>1.5</v>
      </c>
      <c r="D4" s="112">
        <v>1E-3</v>
      </c>
      <c r="E4" s="111" t="s">
        <v>39</v>
      </c>
      <c r="F4" s="113">
        <f>IF(OR(E4="u",E4="U"),SQRT(3),IF(OR(E4="n",E4="N"),3,IF(C4="","","ERROR")))</f>
        <v>3</v>
      </c>
      <c r="G4" s="131">
        <f>IF(C4="","",D4/F4)</f>
        <v>3.3333333333333332E-4</v>
      </c>
      <c r="H4" s="115"/>
      <c r="I4" s="116">
        <v>1</v>
      </c>
      <c r="J4" s="116">
        <v>0.25</v>
      </c>
      <c r="K4" s="117">
        <f>IF(C4="","",I4*(1-J4))</f>
        <v>0.75</v>
      </c>
      <c r="L4" s="114">
        <f>IF(C4="","",D4/(F4*K4))</f>
        <v>4.4444444444444447E-4</v>
      </c>
      <c r="M4" s="115"/>
      <c r="N4" s="133">
        <v>1.51</v>
      </c>
      <c r="O4" s="118">
        <v>3.5E-4</v>
      </c>
      <c r="P4" s="6"/>
      <c r="Q4" s="138"/>
      <c r="R4" s="139" t="s">
        <v>28</v>
      </c>
      <c r="S4" s="140" t="s">
        <v>28</v>
      </c>
    </row>
    <row r="5" spans="2:21" ht="18" x14ac:dyDescent="0.2">
      <c r="B5" s="110" t="s">
        <v>13</v>
      </c>
      <c r="C5" s="111">
        <v>2.4500000000000002</v>
      </c>
      <c r="D5" s="112">
        <v>2E-3</v>
      </c>
      <c r="E5" s="111" t="s">
        <v>39</v>
      </c>
      <c r="F5" s="113">
        <f>IF(OR(E5="u",E5="U"),SQRT(3),IF(OR(E5="n",E5="N"),3,IF(C5="","","ERROR")))</f>
        <v>3</v>
      </c>
      <c r="G5" s="131">
        <f>IF(C5="","",D5/F5)</f>
        <v>6.6666666666666664E-4</v>
      </c>
      <c r="H5" s="115"/>
      <c r="I5" s="116">
        <v>1</v>
      </c>
      <c r="J5" s="116">
        <v>0.25</v>
      </c>
      <c r="K5" s="117">
        <f>IF(C5="","",I5*(1-J5))</f>
        <v>0.75</v>
      </c>
      <c r="L5" s="114">
        <f>IF(C5="","",D5/(F5*K5))</f>
        <v>8.8888888888888893E-4</v>
      </c>
      <c r="M5" s="115"/>
      <c r="N5" s="133">
        <v>2.46</v>
      </c>
      <c r="O5" s="119">
        <v>1.0548000000000001E-3</v>
      </c>
      <c r="P5" s="7"/>
      <c r="Q5" s="225" t="s">
        <v>120</v>
      </c>
      <c r="R5" s="221"/>
      <c r="S5" s="226">
        <v>3</v>
      </c>
    </row>
    <row r="6" spans="2:21" ht="15.75" x14ac:dyDescent="0.2">
      <c r="B6" s="110" t="s">
        <v>15</v>
      </c>
      <c r="C6" s="111">
        <v>6.4</v>
      </c>
      <c r="D6" s="112">
        <v>3.0000000000000001E-3</v>
      </c>
      <c r="E6" s="111" t="s">
        <v>40</v>
      </c>
      <c r="F6" s="113">
        <f t="shared" ref="F6:F28" si="0">IF(OR(E6="u",E6="U"),SQRT(3),IF(OR(E6="n",E6="N"),3,IF(C6="","","ERROR")))</f>
        <v>1.7320508075688772</v>
      </c>
      <c r="G6" s="131">
        <f t="shared" ref="G6:G28" si="1">IF(C6="","",D6/F6)</f>
        <v>1.7320508075688774E-3</v>
      </c>
      <c r="H6" s="115"/>
      <c r="I6" s="116">
        <v>0.5</v>
      </c>
      <c r="J6" s="116">
        <v>0.25</v>
      </c>
      <c r="K6" s="117">
        <f t="shared" ref="K6:K28" si="2">IF(C6="","",I6*(1-J6))</f>
        <v>0.375</v>
      </c>
      <c r="L6" s="114">
        <f t="shared" ref="L6:L28" si="3">IF(C6="","",D6/(F6*K6))</f>
        <v>4.6188021535170064E-3</v>
      </c>
      <c r="M6" s="115"/>
      <c r="N6" s="133">
        <v>6.4</v>
      </c>
      <c r="O6" s="119">
        <v>1.0326000000000001E-3</v>
      </c>
      <c r="P6" s="7"/>
      <c r="Q6" s="67" t="s">
        <v>14</v>
      </c>
      <c r="R6" s="222">
        <v>1.88</v>
      </c>
      <c r="S6" s="227">
        <f>R18+S5*R19</f>
        <v>1.9044184646290268</v>
      </c>
      <c r="T6" s="20"/>
    </row>
    <row r="7" spans="2:21" ht="15.75" x14ac:dyDescent="0.2">
      <c r="B7" s="110" t="s">
        <v>17</v>
      </c>
      <c r="C7" s="111">
        <v>7.3</v>
      </c>
      <c r="D7" s="112">
        <v>4.0000000000000001E-3</v>
      </c>
      <c r="E7" s="111" t="s">
        <v>39</v>
      </c>
      <c r="F7" s="113">
        <f t="shared" si="0"/>
        <v>3</v>
      </c>
      <c r="G7" s="131">
        <f t="shared" si="1"/>
        <v>1.3333333333333333E-3</v>
      </c>
      <c r="H7" s="115"/>
      <c r="I7" s="116">
        <v>1</v>
      </c>
      <c r="J7" s="116">
        <v>0.25</v>
      </c>
      <c r="K7" s="117">
        <f t="shared" si="2"/>
        <v>0.75</v>
      </c>
      <c r="L7" s="114">
        <f t="shared" si="3"/>
        <v>1.7777777777777779E-3</v>
      </c>
      <c r="M7" s="115"/>
      <c r="N7" s="133">
        <v>7.3</v>
      </c>
      <c r="O7" s="119">
        <v>1.0336E-3</v>
      </c>
      <c r="P7" s="7"/>
      <c r="Q7" s="229" t="s">
        <v>16</v>
      </c>
      <c r="R7" s="123">
        <v>1.82</v>
      </c>
      <c r="S7" s="228">
        <f>R18-S5*R19</f>
        <v>1.8155815353709757</v>
      </c>
    </row>
    <row r="8" spans="2:21" ht="15.75" x14ac:dyDescent="0.2">
      <c r="B8" s="110" t="s">
        <v>18</v>
      </c>
      <c r="C8" s="111">
        <v>3.3</v>
      </c>
      <c r="D8" s="112">
        <v>1E-3</v>
      </c>
      <c r="E8" s="111" t="s">
        <v>39</v>
      </c>
      <c r="F8" s="113">
        <f t="shared" si="0"/>
        <v>3</v>
      </c>
      <c r="G8" s="131">
        <f t="shared" si="1"/>
        <v>3.3333333333333332E-4</v>
      </c>
      <c r="H8" s="115"/>
      <c r="I8" s="116">
        <v>0.8</v>
      </c>
      <c r="J8" s="116">
        <v>0.5</v>
      </c>
      <c r="K8" s="117">
        <f t="shared" si="2"/>
        <v>0.4</v>
      </c>
      <c r="L8" s="114">
        <f t="shared" si="3"/>
        <v>8.3333333333333328E-4</v>
      </c>
      <c r="M8" s="115"/>
      <c r="N8" s="133">
        <v>3.3</v>
      </c>
      <c r="O8" s="119">
        <v>1E-3</v>
      </c>
      <c r="P8" s="7"/>
      <c r="Q8" s="223" t="s">
        <v>124</v>
      </c>
      <c r="R8" s="230">
        <f>(R6+R7)/2</f>
        <v>1.85</v>
      </c>
      <c r="S8" s="224"/>
    </row>
    <row r="9" spans="2:21" ht="15.75" x14ac:dyDescent="0.2">
      <c r="B9" s="110" t="s">
        <v>19</v>
      </c>
      <c r="C9" s="111">
        <v>1</v>
      </c>
      <c r="D9" s="112">
        <v>2E-3</v>
      </c>
      <c r="E9" s="111" t="s">
        <v>39</v>
      </c>
      <c r="F9" s="113">
        <f t="shared" si="0"/>
        <v>3</v>
      </c>
      <c r="G9" s="131">
        <f t="shared" si="1"/>
        <v>6.6666666666666664E-4</v>
      </c>
      <c r="H9" s="115"/>
      <c r="I9" s="116">
        <v>1</v>
      </c>
      <c r="J9" s="116">
        <v>0</v>
      </c>
      <c r="K9" s="117">
        <f t="shared" si="2"/>
        <v>1</v>
      </c>
      <c r="L9" s="114">
        <f t="shared" si="3"/>
        <v>6.6666666666666664E-4</v>
      </c>
      <c r="M9" s="115"/>
      <c r="N9" s="133">
        <v>1</v>
      </c>
      <c r="O9" s="119">
        <v>6.6668000000000001E-4</v>
      </c>
      <c r="P9" s="7"/>
      <c r="Q9" s="197"/>
      <c r="R9" s="197"/>
      <c r="S9" s="197"/>
      <c r="U9" s="20"/>
    </row>
    <row r="10" spans="2:21" ht="17.25" x14ac:dyDescent="0.2">
      <c r="B10" s="110" t="s">
        <v>20</v>
      </c>
      <c r="C10" s="111">
        <v>-1.5</v>
      </c>
      <c r="D10" s="112">
        <v>3.0000000000000001E-3</v>
      </c>
      <c r="E10" s="111" t="s">
        <v>39</v>
      </c>
      <c r="F10" s="113">
        <f t="shared" si="0"/>
        <v>3</v>
      </c>
      <c r="G10" s="131">
        <f t="shared" si="1"/>
        <v>1E-3</v>
      </c>
      <c r="H10" s="115"/>
      <c r="I10" s="116">
        <v>1</v>
      </c>
      <c r="J10" s="116">
        <v>0</v>
      </c>
      <c r="K10" s="117">
        <f t="shared" si="2"/>
        <v>1</v>
      </c>
      <c r="L10" s="114">
        <f t="shared" si="3"/>
        <v>1E-3</v>
      </c>
      <c r="M10" s="115"/>
      <c r="N10" s="133">
        <v>-1.55</v>
      </c>
      <c r="O10" s="119">
        <v>1E-3</v>
      </c>
      <c r="P10" s="7"/>
      <c r="Q10" s="178"/>
      <c r="R10" s="179" t="s">
        <v>46</v>
      </c>
      <c r="S10" s="180"/>
    </row>
    <row r="11" spans="2:21" ht="15.75" x14ac:dyDescent="0.2">
      <c r="B11" s="110" t="s">
        <v>21</v>
      </c>
      <c r="C11" s="111">
        <v>-3.6</v>
      </c>
      <c r="D11" s="120">
        <v>0.02</v>
      </c>
      <c r="E11" s="111" t="s">
        <v>40</v>
      </c>
      <c r="F11" s="113">
        <f t="shared" si="0"/>
        <v>1.7320508075688772</v>
      </c>
      <c r="G11" s="131">
        <f t="shared" si="1"/>
        <v>1.1547005383792516E-2</v>
      </c>
      <c r="H11" s="115"/>
      <c r="I11" s="116">
        <v>1</v>
      </c>
      <c r="J11" s="116">
        <v>0</v>
      </c>
      <c r="K11" s="117">
        <f t="shared" si="2"/>
        <v>1</v>
      </c>
      <c r="L11" s="114">
        <f t="shared" si="3"/>
        <v>1.1547005383792516E-2</v>
      </c>
      <c r="M11" s="115"/>
      <c r="N11" s="133">
        <v>-3.56</v>
      </c>
      <c r="O11" s="119">
        <v>1E-3</v>
      </c>
      <c r="P11" s="7"/>
      <c r="Q11" s="63" t="s">
        <v>130</v>
      </c>
      <c r="R11" s="64"/>
      <c r="S11" s="65"/>
    </row>
    <row r="12" spans="2:21" ht="15.75" x14ac:dyDescent="0.2">
      <c r="B12" s="110" t="s">
        <v>22</v>
      </c>
      <c r="C12" s="111">
        <v>-10</v>
      </c>
      <c r="D12" s="112">
        <v>1.4999999999999999E-2</v>
      </c>
      <c r="E12" s="111" t="s">
        <v>40</v>
      </c>
      <c r="F12" s="113">
        <f t="shared" si="0"/>
        <v>1.7320508075688772</v>
      </c>
      <c r="G12" s="131">
        <f t="shared" si="1"/>
        <v>8.6602540378443865E-3</v>
      </c>
      <c r="H12" s="115"/>
      <c r="I12" s="116">
        <v>1</v>
      </c>
      <c r="J12" s="116">
        <v>0.5</v>
      </c>
      <c r="K12" s="117">
        <f t="shared" si="2"/>
        <v>0.5</v>
      </c>
      <c r="L12" s="114">
        <f t="shared" si="3"/>
        <v>1.7320508075688773E-2</v>
      </c>
      <c r="M12" s="115"/>
      <c r="N12" s="133">
        <v>-10</v>
      </c>
      <c r="O12" s="119">
        <v>2E-3</v>
      </c>
      <c r="P12" s="7"/>
      <c r="Q12" s="66"/>
      <c r="R12" s="67" t="s">
        <v>109</v>
      </c>
      <c r="S12" s="68" t="s">
        <v>108</v>
      </c>
    </row>
    <row r="13" spans="2:21" ht="15.75" x14ac:dyDescent="0.2">
      <c r="B13" s="110" t="s">
        <v>23</v>
      </c>
      <c r="C13" s="111">
        <v>-4.99</v>
      </c>
      <c r="D13" s="112">
        <v>6.0000000000000001E-3</v>
      </c>
      <c r="E13" s="111" t="s">
        <v>39</v>
      </c>
      <c r="F13" s="113">
        <f t="shared" si="0"/>
        <v>3</v>
      </c>
      <c r="G13" s="131">
        <f t="shared" si="1"/>
        <v>2E-3</v>
      </c>
      <c r="H13" s="115"/>
      <c r="I13" s="116">
        <v>1</v>
      </c>
      <c r="J13" s="116">
        <v>0</v>
      </c>
      <c r="K13" s="117">
        <f t="shared" si="2"/>
        <v>1</v>
      </c>
      <c r="L13" s="114">
        <f t="shared" si="3"/>
        <v>2E-3</v>
      </c>
      <c r="M13" s="115"/>
      <c r="N13" s="133">
        <v>-5.0199999999999996</v>
      </c>
      <c r="O13" s="119">
        <v>1.2E-2</v>
      </c>
      <c r="P13" s="7"/>
      <c r="Q13" s="69"/>
      <c r="R13" s="70" t="s">
        <v>26</v>
      </c>
      <c r="S13" s="71" t="s">
        <v>25</v>
      </c>
    </row>
    <row r="14" spans="2:21" ht="15.75" x14ac:dyDescent="0.2">
      <c r="B14" s="110"/>
      <c r="C14" s="111"/>
      <c r="D14" s="112"/>
      <c r="E14" s="111"/>
      <c r="F14" s="113" t="str">
        <f t="shared" si="0"/>
        <v/>
      </c>
      <c r="G14" s="131" t="str">
        <f t="shared" si="1"/>
        <v/>
      </c>
      <c r="H14" s="115"/>
      <c r="I14" s="116">
        <v>1</v>
      </c>
      <c r="J14" s="116">
        <v>0</v>
      </c>
      <c r="K14" s="117" t="str">
        <f t="shared" si="2"/>
        <v/>
      </c>
      <c r="L14" s="114" t="str">
        <f t="shared" si="3"/>
        <v/>
      </c>
      <c r="M14" s="115"/>
      <c r="N14" s="133"/>
      <c r="O14" s="121"/>
      <c r="P14" s="8"/>
      <c r="Q14" s="72" t="s">
        <v>69</v>
      </c>
      <c r="R14" s="73"/>
      <c r="S14" s="74"/>
    </row>
    <row r="15" spans="2:21" ht="18.75" x14ac:dyDescent="0.3">
      <c r="B15" s="110"/>
      <c r="C15" s="111"/>
      <c r="D15" s="112"/>
      <c r="E15" s="111"/>
      <c r="F15" s="113" t="str">
        <f t="shared" si="0"/>
        <v/>
      </c>
      <c r="G15" s="131" t="str">
        <f t="shared" si="1"/>
        <v/>
      </c>
      <c r="H15" s="115"/>
      <c r="I15" s="116">
        <v>1</v>
      </c>
      <c r="J15" s="116">
        <v>0</v>
      </c>
      <c r="K15" s="117" t="str">
        <f t="shared" si="2"/>
        <v/>
      </c>
      <c r="L15" s="114" t="str">
        <f t="shared" si="3"/>
        <v/>
      </c>
      <c r="M15" s="115"/>
      <c r="N15" s="133"/>
      <c r="O15" s="121"/>
      <c r="P15" s="8"/>
      <c r="Q15" s="75" t="s">
        <v>105</v>
      </c>
      <c r="R15" s="76">
        <f>SUM(C4:C28)</f>
        <v>1.8600000000000012</v>
      </c>
      <c r="S15" s="77"/>
    </row>
    <row r="16" spans="2:21" ht="18.75" x14ac:dyDescent="0.3">
      <c r="B16" s="110"/>
      <c r="C16" s="111"/>
      <c r="D16" s="112"/>
      <c r="E16" s="111"/>
      <c r="F16" s="113" t="str">
        <f t="shared" si="0"/>
        <v/>
      </c>
      <c r="G16" s="131" t="str">
        <f t="shared" si="1"/>
        <v/>
      </c>
      <c r="H16" s="115"/>
      <c r="I16" s="116">
        <v>1</v>
      </c>
      <c r="J16" s="116">
        <v>0</v>
      </c>
      <c r="K16" s="117" t="str">
        <f t="shared" si="2"/>
        <v/>
      </c>
      <c r="L16" s="114" t="str">
        <f t="shared" si="3"/>
        <v/>
      </c>
      <c r="M16" s="115"/>
      <c r="N16" s="133"/>
      <c r="O16" s="121"/>
      <c r="P16" s="8"/>
      <c r="Q16" s="75" t="s">
        <v>106</v>
      </c>
      <c r="R16" s="126">
        <f>SUM(D4:D28)</f>
        <v>5.7000000000000002E-2</v>
      </c>
      <c r="S16" s="77"/>
    </row>
    <row r="17" spans="2:19" ht="15" customHeight="1" x14ac:dyDescent="0.2">
      <c r="B17" s="110"/>
      <c r="C17" s="111"/>
      <c r="D17" s="112"/>
      <c r="E17" s="111"/>
      <c r="F17" s="113" t="str">
        <f t="shared" si="0"/>
        <v/>
      </c>
      <c r="G17" s="131" t="str">
        <f t="shared" si="1"/>
        <v/>
      </c>
      <c r="H17" s="115"/>
      <c r="I17" s="116">
        <v>1</v>
      </c>
      <c r="J17" s="116">
        <v>0</v>
      </c>
      <c r="K17" s="117" t="str">
        <f t="shared" si="2"/>
        <v/>
      </c>
      <c r="L17" s="114" t="str">
        <f t="shared" si="3"/>
        <v/>
      </c>
      <c r="M17" s="115"/>
      <c r="N17" s="133"/>
      <c r="O17" s="121"/>
      <c r="P17" s="8"/>
      <c r="Q17" s="72" t="s">
        <v>70</v>
      </c>
      <c r="R17" s="78"/>
      <c r="S17" s="79"/>
    </row>
    <row r="18" spans="2:19" ht="17.100000000000001" customHeight="1" x14ac:dyDescent="0.3">
      <c r="B18" s="110"/>
      <c r="C18" s="111"/>
      <c r="D18" s="112"/>
      <c r="E18" s="111"/>
      <c r="F18" s="113" t="str">
        <f t="shared" si="0"/>
        <v/>
      </c>
      <c r="G18" s="131" t="str">
        <f t="shared" si="1"/>
        <v/>
      </c>
      <c r="H18" s="115"/>
      <c r="I18" s="116">
        <v>1</v>
      </c>
      <c r="J18" s="116">
        <v>0</v>
      </c>
      <c r="K18" s="117" t="str">
        <f t="shared" si="2"/>
        <v/>
      </c>
      <c r="L18" s="114" t="str">
        <f t="shared" si="3"/>
        <v/>
      </c>
      <c r="M18" s="115"/>
      <c r="N18" s="133"/>
      <c r="O18" s="121"/>
      <c r="P18" s="8"/>
      <c r="Q18" s="75" t="s">
        <v>105</v>
      </c>
      <c r="R18" s="80">
        <f>SUM(C4:C28)</f>
        <v>1.8600000000000012</v>
      </c>
      <c r="S18" s="81">
        <f>SUM(N4:N28)</f>
        <v>1.8400000000000034</v>
      </c>
    </row>
    <row r="19" spans="2:19" ht="21.75" x14ac:dyDescent="0.35">
      <c r="B19" s="110"/>
      <c r="C19" s="111"/>
      <c r="D19" s="112"/>
      <c r="E19" s="111"/>
      <c r="F19" s="113" t="str">
        <f t="shared" si="0"/>
        <v/>
      </c>
      <c r="G19" s="131" t="str">
        <f t="shared" si="1"/>
        <v/>
      </c>
      <c r="H19" s="115"/>
      <c r="I19" s="116">
        <v>1</v>
      </c>
      <c r="J19" s="116">
        <v>0</v>
      </c>
      <c r="K19" s="117" t="str">
        <f t="shared" si="2"/>
        <v/>
      </c>
      <c r="L19" s="114" t="str">
        <f t="shared" si="3"/>
        <v/>
      </c>
      <c r="M19" s="115"/>
      <c r="N19" s="133"/>
      <c r="O19" s="121"/>
      <c r="P19" s="8"/>
      <c r="Q19" s="172" t="s">
        <v>113</v>
      </c>
      <c r="R19" s="76">
        <f>SUMSQ(G4:G28)^0.5</f>
        <v>1.4806154876341873E-2</v>
      </c>
      <c r="S19" s="77">
        <f>SUMSQ(O4:O28)^0.5</f>
        <v>1.2442433724251859E-2</v>
      </c>
    </row>
    <row r="20" spans="2:19" ht="18.75" x14ac:dyDescent="0.3">
      <c r="B20" s="110"/>
      <c r="C20" s="111"/>
      <c r="D20" s="112"/>
      <c r="E20" s="111"/>
      <c r="F20" s="113" t="str">
        <f t="shared" si="0"/>
        <v/>
      </c>
      <c r="G20" s="131" t="str">
        <f t="shared" si="1"/>
        <v/>
      </c>
      <c r="H20" s="115"/>
      <c r="I20" s="116">
        <v>1</v>
      </c>
      <c r="J20" s="116">
        <v>0</v>
      </c>
      <c r="K20" s="117" t="str">
        <f t="shared" si="2"/>
        <v/>
      </c>
      <c r="L20" s="114" t="str">
        <f t="shared" si="3"/>
        <v/>
      </c>
      <c r="M20" s="115"/>
      <c r="N20" s="133"/>
      <c r="O20" s="121"/>
      <c r="P20" s="8"/>
      <c r="Q20" s="75" t="s">
        <v>106</v>
      </c>
      <c r="R20" s="82">
        <f>R19*3</f>
        <v>4.4418464629025614E-2</v>
      </c>
      <c r="S20" s="77">
        <f>S19*3</f>
        <v>3.7327301172755581E-2</v>
      </c>
    </row>
    <row r="21" spans="2:19" ht="15" customHeight="1" x14ac:dyDescent="0.2">
      <c r="B21" s="110"/>
      <c r="C21" s="111"/>
      <c r="D21" s="112"/>
      <c r="E21" s="111"/>
      <c r="F21" s="113" t="str">
        <f t="shared" si="0"/>
        <v/>
      </c>
      <c r="G21" s="131" t="str">
        <f t="shared" si="1"/>
        <v/>
      </c>
      <c r="H21" s="115"/>
      <c r="I21" s="116">
        <v>1</v>
      </c>
      <c r="J21" s="116">
        <v>0</v>
      </c>
      <c r="K21" s="117" t="str">
        <f t="shared" si="2"/>
        <v/>
      </c>
      <c r="L21" s="114" t="str">
        <f t="shared" si="3"/>
        <v/>
      </c>
      <c r="M21" s="115"/>
      <c r="N21" s="133"/>
      <c r="O21" s="121"/>
      <c r="P21" s="8"/>
      <c r="Q21" s="75" t="s">
        <v>43</v>
      </c>
      <c r="R21" s="83">
        <f>($R$6-$R$7)/(6*R19)</f>
        <v>0.67539479922491885</v>
      </c>
      <c r="S21" s="84">
        <f>($R$6-$R$7)/(6*S19)</f>
        <v>0.8037012871934146</v>
      </c>
    </row>
    <row r="22" spans="2:19" ht="15.75" x14ac:dyDescent="0.2">
      <c r="B22" s="110"/>
      <c r="C22" s="111"/>
      <c r="D22" s="112"/>
      <c r="E22" s="111"/>
      <c r="F22" s="113" t="str">
        <f t="shared" si="0"/>
        <v/>
      </c>
      <c r="G22" s="131" t="str">
        <f t="shared" si="1"/>
        <v/>
      </c>
      <c r="H22" s="115"/>
      <c r="I22" s="116">
        <v>1</v>
      </c>
      <c r="J22" s="116">
        <v>0</v>
      </c>
      <c r="K22" s="117" t="str">
        <f t="shared" si="2"/>
        <v/>
      </c>
      <c r="L22" s="114" t="str">
        <f t="shared" si="3"/>
        <v/>
      </c>
      <c r="M22" s="115"/>
      <c r="N22" s="133"/>
      <c r="O22" s="121"/>
      <c r="P22" s="8"/>
      <c r="Q22" s="85" t="s">
        <v>45</v>
      </c>
      <c r="R22" s="86">
        <f>MIN(C34,ABS(C35))/3</f>
        <v>0.45026319948325089</v>
      </c>
      <c r="S22" s="86">
        <f>MIN(C46,ABS(C47))/3</f>
        <v>0.53580085812903433</v>
      </c>
    </row>
    <row r="23" spans="2:19" ht="15.75" x14ac:dyDescent="0.2">
      <c r="B23" s="110"/>
      <c r="C23" s="111"/>
      <c r="D23" s="112"/>
      <c r="E23" s="111"/>
      <c r="F23" s="113" t="str">
        <f t="shared" si="0"/>
        <v/>
      </c>
      <c r="G23" s="131" t="str">
        <f t="shared" si="1"/>
        <v/>
      </c>
      <c r="H23" s="115"/>
      <c r="I23" s="116">
        <v>1</v>
      </c>
      <c r="J23" s="116">
        <v>0</v>
      </c>
      <c r="K23" s="117" t="str">
        <f t="shared" si="2"/>
        <v/>
      </c>
      <c r="L23" s="114" t="str">
        <f t="shared" si="3"/>
        <v/>
      </c>
      <c r="M23" s="115"/>
      <c r="N23" s="133"/>
      <c r="O23" s="121"/>
      <c r="P23" s="8"/>
      <c r="Q23" s="72" t="s">
        <v>107</v>
      </c>
      <c r="R23" s="87"/>
      <c r="S23" s="79"/>
    </row>
    <row r="24" spans="2:19" ht="18.75" x14ac:dyDescent="0.3">
      <c r="B24" s="110"/>
      <c r="C24" s="111"/>
      <c r="D24" s="112"/>
      <c r="E24" s="111"/>
      <c r="F24" s="113" t="str">
        <f t="shared" si="0"/>
        <v/>
      </c>
      <c r="G24" s="131" t="str">
        <f t="shared" si="1"/>
        <v/>
      </c>
      <c r="H24" s="115"/>
      <c r="I24" s="116">
        <v>1</v>
      </c>
      <c r="J24" s="116">
        <v>0</v>
      </c>
      <c r="K24" s="117" t="str">
        <f t="shared" si="2"/>
        <v/>
      </c>
      <c r="L24" s="114" t="str">
        <f t="shared" si="3"/>
        <v/>
      </c>
      <c r="M24" s="115"/>
      <c r="N24" s="133"/>
      <c r="O24" s="121"/>
      <c r="P24" s="8"/>
      <c r="Q24" s="75" t="s">
        <v>105</v>
      </c>
      <c r="R24" s="76">
        <f>SUM(C4:C28)</f>
        <v>1.8600000000000012</v>
      </c>
      <c r="S24" s="88"/>
    </row>
    <row r="25" spans="2:19" ht="21.75" x14ac:dyDescent="0.35">
      <c r="B25" s="110"/>
      <c r="C25" s="111"/>
      <c r="D25" s="112"/>
      <c r="E25" s="111"/>
      <c r="F25" s="113" t="str">
        <f t="shared" si="0"/>
        <v/>
      </c>
      <c r="G25" s="131" t="str">
        <f t="shared" si="1"/>
        <v/>
      </c>
      <c r="H25" s="115"/>
      <c r="I25" s="116">
        <v>1</v>
      </c>
      <c r="J25" s="116">
        <v>0</v>
      </c>
      <c r="K25" s="117" t="str">
        <f t="shared" si="2"/>
        <v/>
      </c>
      <c r="L25" s="114" t="str">
        <f t="shared" si="3"/>
        <v/>
      </c>
      <c r="M25" s="115"/>
      <c r="N25" s="133"/>
      <c r="O25" s="121"/>
      <c r="P25" s="8"/>
      <c r="Q25" s="172" t="s">
        <v>113</v>
      </c>
      <c r="R25" s="89">
        <f>SUMSQ(L4:L28)^0.5</f>
        <v>2.1562785156461206E-2</v>
      </c>
      <c r="S25" s="90"/>
    </row>
    <row r="26" spans="2:19" ht="18.75" x14ac:dyDescent="0.3">
      <c r="B26" s="110"/>
      <c r="C26" s="111"/>
      <c r="D26" s="112"/>
      <c r="E26" s="111"/>
      <c r="F26" s="113" t="str">
        <f t="shared" si="0"/>
        <v/>
      </c>
      <c r="G26" s="131" t="str">
        <f t="shared" si="1"/>
        <v/>
      </c>
      <c r="H26" s="115"/>
      <c r="I26" s="116">
        <v>1</v>
      </c>
      <c r="J26" s="116">
        <v>0</v>
      </c>
      <c r="K26" s="117" t="str">
        <f t="shared" si="2"/>
        <v/>
      </c>
      <c r="L26" s="114" t="str">
        <f t="shared" si="3"/>
        <v/>
      </c>
      <c r="M26" s="115"/>
      <c r="N26" s="133"/>
      <c r="O26" s="121"/>
      <c r="P26" s="8"/>
      <c r="Q26" s="75" t="s">
        <v>106</v>
      </c>
      <c r="R26" s="76">
        <f>R25*4.5</f>
        <v>9.7032533204075427E-2</v>
      </c>
      <c r="S26" s="91"/>
    </row>
    <row r="27" spans="2:19" ht="15.75" x14ac:dyDescent="0.2">
      <c r="B27" s="110"/>
      <c r="C27" s="111"/>
      <c r="D27" s="112"/>
      <c r="E27" s="111"/>
      <c r="F27" s="113" t="str">
        <f t="shared" si="0"/>
        <v/>
      </c>
      <c r="G27" s="131" t="str">
        <f t="shared" si="1"/>
        <v/>
      </c>
      <c r="H27" s="115"/>
      <c r="I27" s="116">
        <v>1</v>
      </c>
      <c r="J27" s="116">
        <v>0</v>
      </c>
      <c r="K27" s="117" t="str">
        <f t="shared" si="2"/>
        <v/>
      </c>
      <c r="L27" s="114" t="str">
        <f t="shared" si="3"/>
        <v/>
      </c>
      <c r="M27" s="115"/>
      <c r="N27" s="133"/>
      <c r="O27" s="121"/>
      <c r="P27" s="8"/>
      <c r="Q27" s="75" t="s">
        <v>43</v>
      </c>
      <c r="R27" s="86">
        <f>($R$6-$R$7)/(6*R25)</f>
        <v>0.46376198285329157</v>
      </c>
      <c r="S27" s="92"/>
    </row>
    <row r="28" spans="2:19" ht="16.5" thickBot="1" x14ac:dyDescent="0.25">
      <c r="B28" s="122"/>
      <c r="C28" s="123"/>
      <c r="D28" s="124"/>
      <c r="E28" s="123"/>
      <c r="F28" s="125" t="str">
        <f t="shared" si="0"/>
        <v/>
      </c>
      <c r="G28" s="132" t="str">
        <f t="shared" si="1"/>
        <v/>
      </c>
      <c r="H28" s="127"/>
      <c r="I28" s="128">
        <v>1</v>
      </c>
      <c r="J28" s="128">
        <v>0</v>
      </c>
      <c r="K28" s="129" t="str">
        <f t="shared" si="2"/>
        <v/>
      </c>
      <c r="L28" s="126" t="str">
        <f t="shared" si="3"/>
        <v/>
      </c>
      <c r="M28" s="127"/>
      <c r="N28" s="134"/>
      <c r="O28" s="130"/>
      <c r="P28" s="8"/>
      <c r="Q28" s="93" t="s">
        <v>45</v>
      </c>
      <c r="R28" s="94">
        <f>MIN(C40,ABS(C41))/3</f>
        <v>0.3091746552355083</v>
      </c>
      <c r="S28" s="95"/>
    </row>
    <row r="29" spans="2:19" ht="13.5" thickTop="1" x14ac:dyDescent="0.15">
      <c r="B29" s="21"/>
      <c r="C29" s="21"/>
      <c r="D29" s="21"/>
      <c r="E29" s="21"/>
      <c r="F29" s="21"/>
      <c r="G29" s="21"/>
      <c r="H29" s="21"/>
      <c r="I29" s="21"/>
      <c r="J29" s="21"/>
      <c r="K29" s="21"/>
    </row>
    <row r="30" spans="2:19" ht="17.25" x14ac:dyDescent="0.2">
      <c r="B30" s="186"/>
      <c r="C30" s="187"/>
      <c r="D30" s="187"/>
      <c r="E30" s="179" t="s">
        <v>47</v>
      </c>
      <c r="F30" s="179"/>
      <c r="G30" s="187"/>
      <c r="H30" s="187"/>
      <c r="I30" s="188"/>
      <c r="J30" s="192"/>
    </row>
    <row r="31" spans="2:19" ht="15.75" x14ac:dyDescent="0.2">
      <c r="B31" s="72" t="s">
        <v>73</v>
      </c>
      <c r="C31" s="189"/>
      <c r="D31" s="189"/>
      <c r="E31" s="189"/>
      <c r="F31" s="189"/>
      <c r="G31" s="189"/>
      <c r="H31" s="189"/>
      <c r="I31" s="190"/>
      <c r="J31" s="193"/>
    </row>
    <row r="32" spans="2:19" ht="15.75" x14ac:dyDescent="0.2">
      <c r="B32" s="191"/>
      <c r="C32" s="142" t="s">
        <v>31</v>
      </c>
      <c r="D32" s="101" t="s">
        <v>32</v>
      </c>
      <c r="E32" s="101" t="s">
        <v>33</v>
      </c>
      <c r="F32" s="101" t="s">
        <v>34</v>
      </c>
      <c r="G32" s="143" t="s">
        <v>35</v>
      </c>
      <c r="H32" s="143"/>
      <c r="I32" s="144" t="s">
        <v>131</v>
      </c>
      <c r="J32" s="22"/>
    </row>
    <row r="33" spans="2:18" ht="14.1" customHeight="1" x14ac:dyDescent="0.2">
      <c r="B33" s="194"/>
      <c r="C33" s="23" t="s">
        <v>118</v>
      </c>
      <c r="D33" s="198" t="s">
        <v>36</v>
      </c>
      <c r="E33" s="198" t="s">
        <v>37</v>
      </c>
      <c r="F33" s="198" t="s">
        <v>36</v>
      </c>
      <c r="G33" s="198" t="s">
        <v>37</v>
      </c>
      <c r="H33" s="199"/>
      <c r="I33" s="24" t="s">
        <v>117</v>
      </c>
      <c r="J33" s="22"/>
    </row>
    <row r="34" spans="2:18" ht="15.75" x14ac:dyDescent="0.2">
      <c r="B34" s="147" t="s">
        <v>14</v>
      </c>
      <c r="C34" s="148">
        <f>STANDARDIZE(R6,R18,R19)</f>
        <v>1.3507895984497527</v>
      </c>
      <c r="D34" s="149">
        <f>1-NORMSDIST(C34)</f>
        <v>8.8381420495555307E-2</v>
      </c>
      <c r="E34" s="150">
        <f>D34*1000000</f>
        <v>88381.420495555314</v>
      </c>
      <c r="F34" s="151">
        <f>0.5-D34</f>
        <v>0.41161857950444469</v>
      </c>
      <c r="G34" s="150">
        <f>F34*1000000</f>
        <v>411618.57950444467</v>
      </c>
      <c r="H34" s="152"/>
      <c r="I34" s="153" t="s">
        <v>42</v>
      </c>
      <c r="J34" s="22"/>
    </row>
    <row r="35" spans="2:18" ht="15.75" x14ac:dyDescent="0.2">
      <c r="B35" s="154" t="s">
        <v>16</v>
      </c>
      <c r="C35" s="155">
        <f>STANDARDIZE(R7,R18,R19)</f>
        <v>-2.7015791968997602</v>
      </c>
      <c r="D35" s="156">
        <f>NORMSDIST(C35)</f>
        <v>3.4505521364119243E-3</v>
      </c>
      <c r="E35" s="157">
        <f>D35*1000000</f>
        <v>3450.552136411924</v>
      </c>
      <c r="F35" s="158">
        <f>0.5-D35</f>
        <v>0.49654944786358807</v>
      </c>
      <c r="G35" s="157">
        <f>F35*1000000</f>
        <v>496549.44786358805</v>
      </c>
      <c r="H35" s="159"/>
      <c r="I35" s="160" t="s">
        <v>42</v>
      </c>
      <c r="J35" s="22"/>
    </row>
    <row r="36" spans="2:18" ht="15.75" x14ac:dyDescent="0.2">
      <c r="B36" s="195" t="s">
        <v>38</v>
      </c>
      <c r="C36" s="161" t="s">
        <v>42</v>
      </c>
      <c r="D36" s="162">
        <f>IF(R7&gt;=R6,"N/A",SUM(D34:D35))</f>
        <v>9.1831972631967226E-2</v>
      </c>
      <c r="E36" s="163">
        <f>IF(R7&gt;=R6,"N/A",D36*1000000)</f>
        <v>91831.972631967234</v>
      </c>
      <c r="F36" s="164">
        <f>IF(R7&gt;=R6,"N/A",1-D36)</f>
        <v>0.90816802736803282</v>
      </c>
      <c r="G36" s="163">
        <f>IF(R7&gt;=R6,"N/A",1000000-E36)</f>
        <v>908168.02736803272</v>
      </c>
      <c r="H36" s="159"/>
      <c r="I36" s="165">
        <f>IF(R7&gt;=R6,"N/A",IF(G36&gt;=999999.3,"&gt;5",NORMSINV(G36/2000000+0.5)))</f>
        <v>1.6858122236590318</v>
      </c>
      <c r="J36" s="22"/>
    </row>
    <row r="37" spans="2:18" ht="15.75" x14ac:dyDescent="0.2">
      <c r="B37" s="72" t="s">
        <v>111</v>
      </c>
      <c r="C37" s="141"/>
      <c r="D37" s="189"/>
      <c r="E37" s="141"/>
      <c r="F37" s="189"/>
      <c r="G37" s="189"/>
      <c r="H37" s="189"/>
      <c r="I37" s="190"/>
      <c r="J37" s="22"/>
    </row>
    <row r="38" spans="2:18" ht="15.75" x14ac:dyDescent="0.2">
      <c r="B38" s="191"/>
      <c r="C38" s="142" t="s">
        <v>31</v>
      </c>
      <c r="D38" s="101" t="s">
        <v>32</v>
      </c>
      <c r="E38" s="101" t="s">
        <v>33</v>
      </c>
      <c r="F38" s="101" t="s">
        <v>34</v>
      </c>
      <c r="G38" s="143" t="s">
        <v>35</v>
      </c>
      <c r="H38" s="143"/>
      <c r="I38" s="144" t="s">
        <v>131</v>
      </c>
      <c r="J38" s="22"/>
    </row>
    <row r="39" spans="2:18" ht="18" x14ac:dyDescent="0.2">
      <c r="B39" s="194"/>
      <c r="C39" s="23" t="s">
        <v>118</v>
      </c>
      <c r="D39" s="198" t="s">
        <v>36</v>
      </c>
      <c r="E39" s="198" t="s">
        <v>37</v>
      </c>
      <c r="F39" s="198" t="s">
        <v>36</v>
      </c>
      <c r="G39" s="198" t="s">
        <v>37</v>
      </c>
      <c r="H39" s="146"/>
      <c r="I39" s="24" t="s">
        <v>117</v>
      </c>
      <c r="J39" s="22"/>
    </row>
    <row r="40" spans="2:18" ht="15.75" x14ac:dyDescent="0.2">
      <c r="B40" s="147" t="s">
        <v>14</v>
      </c>
      <c r="C40" s="148">
        <f>STANDARDIZE(R6,R24,R25)</f>
        <v>0.92752396570652484</v>
      </c>
      <c r="D40" s="149">
        <f>1-NORMSDIST(C40)</f>
        <v>0.17682727728342273</v>
      </c>
      <c r="E40" s="150">
        <f>D40*1000000</f>
        <v>176827.27728342274</v>
      </c>
      <c r="F40" s="151">
        <f>0.5-D40</f>
        <v>0.32317272271657727</v>
      </c>
      <c r="G40" s="150">
        <f>F40*1000000</f>
        <v>323172.72271657729</v>
      </c>
      <c r="H40" s="152"/>
      <c r="I40" s="153" t="s">
        <v>42</v>
      </c>
      <c r="J40" s="22"/>
    </row>
    <row r="41" spans="2:18" ht="15.75" x14ac:dyDescent="0.2">
      <c r="B41" s="154" t="s">
        <v>16</v>
      </c>
      <c r="C41" s="155">
        <f>STANDARDIZE(R7,R24,R25)</f>
        <v>-1.8550479314132247</v>
      </c>
      <c r="D41" s="156">
        <f>NORMSDIST(C41)</f>
        <v>3.1794691116019888E-2</v>
      </c>
      <c r="E41" s="157">
        <f>D41*1000000</f>
        <v>31794.691116019887</v>
      </c>
      <c r="F41" s="158">
        <f>0.5-D41</f>
        <v>0.4682053088839801</v>
      </c>
      <c r="G41" s="157">
        <f>F41*1000000</f>
        <v>468205.30888398009</v>
      </c>
      <c r="H41" s="159"/>
      <c r="I41" s="160" t="s">
        <v>42</v>
      </c>
      <c r="J41" s="22"/>
    </row>
    <row r="42" spans="2:18" ht="15.75" x14ac:dyDescent="0.2">
      <c r="B42" s="195" t="s">
        <v>38</v>
      </c>
      <c r="C42" s="161" t="s">
        <v>42</v>
      </c>
      <c r="D42" s="162">
        <f>IF(R7&gt;=R6,"N/A",SUM(D40:D41))</f>
        <v>0.20862196839944264</v>
      </c>
      <c r="E42" s="163">
        <f>IF(R7&gt;=R6,"N/A",D42*1000000)</f>
        <v>208621.96839944265</v>
      </c>
      <c r="F42" s="164">
        <f>IF(R7&gt;=R6,"N/A",1-D42)</f>
        <v>0.79137803160055742</v>
      </c>
      <c r="G42" s="163">
        <f>IF(R7&gt;=R6,"N/A",1000000-E42)</f>
        <v>791378.03160055738</v>
      </c>
      <c r="H42" s="159"/>
      <c r="I42" s="165">
        <f>IF(R7&gt;=R6,"N/A",IF(G42&gt;=999999.3,"&gt;5",NORMSINV(G42/2000000+0.5)))</f>
        <v>1.2573636972712097</v>
      </c>
      <c r="J42" s="22"/>
    </row>
    <row r="43" spans="2:18" ht="15.75" x14ac:dyDescent="0.2">
      <c r="B43" s="72" t="s">
        <v>64</v>
      </c>
      <c r="C43" s="166"/>
      <c r="D43" s="166"/>
      <c r="E43" s="166"/>
      <c r="F43" s="166"/>
      <c r="G43" s="166"/>
      <c r="H43" s="166"/>
      <c r="I43" s="167"/>
      <c r="J43" s="22"/>
      <c r="R43" s="20"/>
    </row>
    <row r="44" spans="2:18" ht="15.75" x14ac:dyDescent="0.2">
      <c r="B44" s="191"/>
      <c r="C44" s="142" t="s">
        <v>31</v>
      </c>
      <c r="D44" s="101" t="s">
        <v>32</v>
      </c>
      <c r="E44" s="101" t="s">
        <v>33</v>
      </c>
      <c r="F44" s="101" t="s">
        <v>34</v>
      </c>
      <c r="G44" s="143" t="s">
        <v>35</v>
      </c>
      <c r="H44" s="143"/>
      <c r="I44" s="144" t="s">
        <v>131</v>
      </c>
      <c r="J44" s="22"/>
    </row>
    <row r="45" spans="2:18" ht="14.1" customHeight="1" x14ac:dyDescent="0.2">
      <c r="B45" s="194"/>
      <c r="C45" s="23" t="s">
        <v>118</v>
      </c>
      <c r="D45" s="198" t="s">
        <v>36</v>
      </c>
      <c r="E45" s="198" t="s">
        <v>37</v>
      </c>
      <c r="F45" s="198" t="s">
        <v>36</v>
      </c>
      <c r="G45" s="145" t="s">
        <v>37</v>
      </c>
      <c r="H45" s="146"/>
      <c r="I45" s="24" t="s">
        <v>117</v>
      </c>
      <c r="J45" s="22"/>
    </row>
    <row r="46" spans="2:18" ht="15.75" x14ac:dyDescent="0.2">
      <c r="B46" s="147" t="s">
        <v>14</v>
      </c>
      <c r="C46" s="148">
        <f>STANDARDIZE(R6,S18,S19)</f>
        <v>3.2148051487733853</v>
      </c>
      <c r="D46" s="149">
        <f>1-NORMSDIST(C46)</f>
        <v>6.5266547121023422E-4</v>
      </c>
      <c r="E46" s="150">
        <f>D46*1000000</f>
        <v>652.66547121023427</v>
      </c>
      <c r="F46" s="151">
        <f>0.5-D46</f>
        <v>0.49934733452878977</v>
      </c>
      <c r="G46" s="150">
        <f>F46*1000000</f>
        <v>499347.33452878974</v>
      </c>
      <c r="H46" s="152"/>
      <c r="I46" s="153" t="s">
        <v>42</v>
      </c>
      <c r="J46" s="22"/>
    </row>
    <row r="47" spans="2:18" ht="15.75" x14ac:dyDescent="0.2">
      <c r="B47" s="154" t="s">
        <v>16</v>
      </c>
      <c r="C47" s="155">
        <f>STANDARDIZE(R7,S18,S19)</f>
        <v>-1.607402574387103</v>
      </c>
      <c r="D47" s="156">
        <f>NORMSDIST(C47)</f>
        <v>5.3983042862950942E-2</v>
      </c>
      <c r="E47" s="157">
        <f>D47*1000000</f>
        <v>53983.042862950941</v>
      </c>
      <c r="F47" s="158">
        <f>0.5-D47</f>
        <v>0.44601695713704903</v>
      </c>
      <c r="G47" s="157">
        <f>F47*1000000</f>
        <v>446016.95713704906</v>
      </c>
      <c r="H47" s="159"/>
      <c r="I47" s="160" t="s">
        <v>42</v>
      </c>
      <c r="J47" s="22"/>
    </row>
    <row r="48" spans="2:18" ht="16.5" thickBot="1" x14ac:dyDescent="0.25">
      <c r="B48" s="196" t="s">
        <v>38</v>
      </c>
      <c r="C48" s="168" t="s">
        <v>42</v>
      </c>
      <c r="D48" s="169">
        <f>IF(R7&gt;=R6,"N/A",SUM(D46:D47))</f>
        <v>5.4635708334161176E-2</v>
      </c>
      <c r="E48" s="208">
        <f>IF(R7&gt;=R6,"N/A",D48*1000000)</f>
        <v>54635.708334161172</v>
      </c>
      <c r="F48" s="170">
        <f>IF(R7&gt;=R6,"N/A",1-D48)</f>
        <v>0.9453642916658388</v>
      </c>
      <c r="G48" s="208">
        <f>IF(R7&gt;=R6,"N/A",1000000-E48)</f>
        <v>945364.2916658388</v>
      </c>
      <c r="H48" s="159"/>
      <c r="I48" s="209">
        <f>IF(R7&gt;=R6,"N/A",IF(G48&gt;=999999.999,"&gt;6",NORMSINV(G48/2000000+0.5)))</f>
        <v>1.9217620279037</v>
      </c>
      <c r="J48" s="22"/>
    </row>
    <row r="49" spans="2:10" ht="16.5" thickTop="1" x14ac:dyDescent="0.2">
      <c r="B49" s="22"/>
      <c r="C49" s="22"/>
      <c r="D49" s="22"/>
      <c r="E49" s="22"/>
      <c r="F49" s="22"/>
      <c r="G49" s="22"/>
      <c r="H49" s="22"/>
      <c r="I49" s="197" t="s">
        <v>89</v>
      </c>
      <c r="J49" s="22"/>
    </row>
    <row r="50" spans="2:10" ht="17.25" x14ac:dyDescent="0.2">
      <c r="B50" s="203" t="s">
        <v>95</v>
      </c>
      <c r="C50" s="187"/>
      <c r="D50" s="204" t="s">
        <v>103</v>
      </c>
      <c r="E50" s="205" t="s">
        <v>104</v>
      </c>
      <c r="F50" s="22"/>
      <c r="G50" s="22"/>
      <c r="H50" s="22"/>
      <c r="I50" s="197">
        <f>NORMSINV(0.9999993/2+0.5)</f>
        <v>4.9613636492095621</v>
      </c>
      <c r="J50" s="22"/>
    </row>
    <row r="51" spans="2:10" ht="15.75" x14ac:dyDescent="0.2">
      <c r="B51" s="182" t="s">
        <v>122</v>
      </c>
      <c r="D51" s="206" t="s">
        <v>115</v>
      </c>
      <c r="E51" s="183"/>
      <c r="F51" s="22"/>
      <c r="G51" s="22"/>
      <c r="H51" s="22"/>
      <c r="I51" s="22"/>
      <c r="J51" s="22"/>
    </row>
    <row r="52" spans="2:10" ht="18" x14ac:dyDescent="0.2">
      <c r="B52" s="182" t="s">
        <v>116</v>
      </c>
      <c r="D52" s="206" t="s">
        <v>115</v>
      </c>
      <c r="E52" s="183"/>
      <c r="F52" s="22"/>
      <c r="G52" s="22"/>
      <c r="H52" s="22"/>
      <c r="I52" s="22"/>
      <c r="J52" s="22"/>
    </row>
    <row r="53" spans="2:10" ht="15.75" x14ac:dyDescent="0.2">
      <c r="B53" s="184" t="s">
        <v>123</v>
      </c>
      <c r="C53" s="171"/>
      <c r="D53" s="207" t="s">
        <v>115</v>
      </c>
      <c r="E53" s="185"/>
      <c r="F53" s="22"/>
      <c r="G53" s="22"/>
      <c r="H53" s="22"/>
      <c r="I53" s="22"/>
      <c r="J53" s="22"/>
    </row>
    <row r="55" spans="2:10" x14ac:dyDescent="0.15">
      <c r="B55" s="13" t="s">
        <v>132</v>
      </c>
    </row>
  </sheetData>
  <sheetProtection sheet="1" objects="1" scenarios="1"/>
  <mergeCells count="1">
    <mergeCell ref="J2:K2"/>
  </mergeCells>
  <phoneticPr fontId="0" type="noConversion"/>
  <pageMargins left="0.75" right="0.75" top="0.72" bottom="0.65" header="0.5" footer="0.5"/>
  <pageSetup scale="58" orientation="landscape" horizontalDpi="4294967292" verticalDpi="4294967292"/>
  <headerFooter>
    <oddFooter>&amp;L&amp;"Times,Bold"&amp;F       &amp;D  &amp;T&amp;C&amp;"Times,Bold"CATS 1-D XL   Vers 1.0&amp;R&amp;"Times,Regular"© Copyright  2001  ADCATS, BYU, Provo, Utah   http://adcats.et.byu.edu</oddFooter>
  </headerFooter>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L69"/>
  <sheetViews>
    <sheetView topLeftCell="I7" workbookViewId="0">
      <selection activeCell="I33" sqref="I33"/>
    </sheetView>
  </sheetViews>
  <sheetFormatPr defaultColWidth="8.76171875" defaultRowHeight="12.75" x14ac:dyDescent="0.15"/>
  <cols>
    <col min="1" max="1" width="4.8515625" style="2" customWidth="1"/>
    <col min="2" max="2" width="16.98828125" style="1" customWidth="1"/>
    <col min="3" max="3" width="13.6171875" style="1" customWidth="1"/>
    <col min="4" max="4" width="16.046875" style="1" customWidth="1"/>
    <col min="5" max="5" width="14.0234375" style="1" customWidth="1"/>
    <col min="6" max="6" width="13.6171875" style="1" customWidth="1"/>
    <col min="7" max="7" width="15.1015625" style="1" customWidth="1"/>
    <col min="8" max="8" width="2.15625" customWidth="1"/>
    <col min="9" max="9" width="13.34765625" style="1" customWidth="1"/>
    <col min="10" max="10" width="12.26953125" style="1" bestFit="1" customWidth="1"/>
    <col min="11" max="12" width="10.78515625" style="1" customWidth="1"/>
    <col min="13" max="16384" width="8.76171875" style="1"/>
  </cols>
  <sheetData>
    <row r="5" spans="1:12" x14ac:dyDescent="0.15">
      <c r="A5" s="56"/>
      <c r="B5" s="29"/>
      <c r="C5" s="29"/>
      <c r="D5" s="29"/>
      <c r="E5" s="29"/>
      <c r="F5" s="28" t="s">
        <v>88</v>
      </c>
      <c r="G5" s="30"/>
      <c r="K5" s="3"/>
    </row>
    <row r="6" spans="1:12" x14ac:dyDescent="0.15">
      <c r="A6" s="57"/>
      <c r="B6" s="58" t="s">
        <v>57</v>
      </c>
      <c r="C6" s="43" t="s">
        <v>58</v>
      </c>
      <c r="D6" s="43" t="s">
        <v>85</v>
      </c>
      <c r="E6" s="58" t="s">
        <v>59</v>
      </c>
      <c r="F6" s="175" t="s">
        <v>82</v>
      </c>
      <c r="G6" s="44" t="s">
        <v>61</v>
      </c>
    </row>
    <row r="7" spans="1:12" ht="18" x14ac:dyDescent="0.2">
      <c r="A7" s="59"/>
      <c r="B7" s="60"/>
      <c r="C7" s="60"/>
      <c r="D7" s="60"/>
      <c r="E7" s="60"/>
      <c r="F7" s="176" t="s">
        <v>86</v>
      </c>
      <c r="G7" s="61" t="s">
        <v>86</v>
      </c>
    </row>
    <row r="8" spans="1:12" x14ac:dyDescent="0.15">
      <c r="A8" s="38" t="s">
        <v>31</v>
      </c>
      <c r="B8" s="39" t="s">
        <v>75</v>
      </c>
      <c r="C8" s="40" t="s">
        <v>87</v>
      </c>
      <c r="D8" s="39" t="s">
        <v>83</v>
      </c>
      <c r="E8" s="39" t="s">
        <v>56</v>
      </c>
      <c r="F8" s="39" t="s">
        <v>74</v>
      </c>
      <c r="G8" s="211" t="s">
        <v>74</v>
      </c>
      <c r="I8" s="28" t="s">
        <v>65</v>
      </c>
      <c r="J8" s="48" t="s">
        <v>83</v>
      </c>
      <c r="K8" s="48" t="s">
        <v>82</v>
      </c>
      <c r="L8" s="49" t="s">
        <v>79</v>
      </c>
    </row>
    <row r="9" spans="1:12" x14ac:dyDescent="0.15">
      <c r="A9" s="56">
        <v>-6</v>
      </c>
      <c r="B9" s="212">
        <f>$J$39*(1/(2*PI())^0.5*EXP(-0.5*(A9-$J$29)^2))</f>
        <v>8.4068733479572357E-11</v>
      </c>
      <c r="C9" s="29">
        <f>NORMSDIST(A9)</f>
        <v>9.8658764503769437E-10</v>
      </c>
      <c r="D9" s="29">
        <f t="shared" ref="D9:D40" si="0">A9*$J$11+$J$9</f>
        <v>1.7711630707419499</v>
      </c>
      <c r="E9" s="29">
        <f t="shared" ref="E9:E40" si="1">NORMDIST(D9,$J$9,$J$11,FALSE)</f>
        <v>4.1036196774704062E-7</v>
      </c>
      <c r="F9" s="213">
        <f>$J$40*(1/(2*PI())^0.5*EXP(-0.5*(A9-$K$29)^2*($J$11/$K$11)^2))</f>
        <v>1.0929943534871975E-5</v>
      </c>
      <c r="G9" s="214">
        <f>$J$41*(1/(2*PI())^0.5*EXP(-0.5*(A9-$L$29)^2*($J$11/$L$11)^2))</f>
        <v>7.6416564974700993E-10</v>
      </c>
      <c r="I9" s="31" t="s">
        <v>76</v>
      </c>
      <c r="J9" s="50">
        <f>'1-D Stack'!R18</f>
        <v>1.8600000000000012</v>
      </c>
      <c r="K9" s="33">
        <f>'1-D Stack'!R24</f>
        <v>1.8600000000000012</v>
      </c>
      <c r="L9" s="51">
        <f>'1-D Stack'!S18</f>
        <v>1.8400000000000034</v>
      </c>
    </row>
    <row r="10" spans="1:12" x14ac:dyDescent="0.15">
      <c r="A10" s="57">
        <v>-5.8</v>
      </c>
      <c r="B10" s="215">
        <f t="shared" ref="B10:B69" si="2">$J$39*(1/(2*PI())^0.5*EXP(-0.5*(A10-$J$29)^2))</f>
        <v>3.1315982393182045E-10</v>
      </c>
      <c r="C10" s="33">
        <f>NORMSDIST(A10)</f>
        <v>3.31574597832616E-9</v>
      </c>
      <c r="D10" s="33">
        <f t="shared" si="0"/>
        <v>1.7741243017172184</v>
      </c>
      <c r="E10" s="33">
        <f t="shared" si="1"/>
        <v>1.3354714016830544E-6</v>
      </c>
      <c r="F10" s="216">
        <f t="shared" ref="F10:F69" si="3">$J$40*(1/(2*PI())^0.5*EXP(-0.5*(A10-$K$29)^2*($J$11/$K$11)^2))</f>
        <v>2.0318993932394624E-5</v>
      </c>
      <c r="G10" s="217">
        <f t="shared" ref="G10:G69" si="4">$J$41*(1/(2*PI())^0.5*EXP(-0.5*(A10-$L$29)^2*($J$11/$L$11)^2))</f>
        <v>3.3557449367529351E-9</v>
      </c>
      <c r="I10" s="52" t="s">
        <v>53</v>
      </c>
      <c r="J10" s="33"/>
      <c r="K10" s="33"/>
      <c r="L10" s="34"/>
    </row>
    <row r="11" spans="1:12" ht="18" x14ac:dyDescent="0.2">
      <c r="A11" s="57">
        <v>-5.6</v>
      </c>
      <c r="B11" s="215">
        <f t="shared" si="2"/>
        <v>1.1207939977185143E-9</v>
      </c>
      <c r="C11" s="33">
        <f t="shared" ref="C11:C69" si="5">NORMSDIST(A11)</f>
        <v>1.0717590258310892E-8</v>
      </c>
      <c r="D11" s="33">
        <f t="shared" si="0"/>
        <v>1.7770855326924868</v>
      </c>
      <c r="E11" s="33">
        <f t="shared" si="1"/>
        <v>4.1757097313935463E-6</v>
      </c>
      <c r="F11" s="216">
        <f t="shared" si="3"/>
        <v>3.7067715224701E-5</v>
      </c>
      <c r="G11" s="217">
        <f t="shared" si="4"/>
        <v>1.3924875881102522E-8</v>
      </c>
      <c r="I11" s="53" t="s">
        <v>55</v>
      </c>
      <c r="J11" s="54">
        <f>'1-D Stack'!R19</f>
        <v>1.4806154876341873E-2</v>
      </c>
      <c r="K11" s="36">
        <f>'1-D Stack'!R25</f>
        <v>2.1562785156461206E-2</v>
      </c>
      <c r="L11" s="55">
        <f>'1-D Stack'!S19</f>
        <v>1.2442433724251859E-2</v>
      </c>
    </row>
    <row r="12" spans="1:12" x14ac:dyDescent="0.15">
      <c r="A12" s="57">
        <v>-5.4</v>
      </c>
      <c r="B12" s="215">
        <f t="shared" si="2"/>
        <v>3.8540183085648921E-9</v>
      </c>
      <c r="C12" s="33">
        <f t="shared" si="5"/>
        <v>3.3320448485428448E-8</v>
      </c>
      <c r="D12" s="33">
        <f t="shared" si="0"/>
        <v>1.780046763667755</v>
      </c>
      <c r="E12" s="33">
        <f t="shared" si="1"/>
        <v>1.2544525300914304E-5</v>
      </c>
      <c r="F12" s="216">
        <f t="shared" si="3"/>
        <v>6.6358837614391805E-5</v>
      </c>
      <c r="G12" s="217">
        <f t="shared" si="4"/>
        <v>5.4600256045336772E-8</v>
      </c>
    </row>
    <row r="13" spans="1:12" x14ac:dyDescent="0.15">
      <c r="A13" s="57">
        <v>-5.2</v>
      </c>
      <c r="B13" s="215">
        <f t="shared" si="2"/>
        <v>1.2732977485152073E-8</v>
      </c>
      <c r="C13" s="33">
        <f t="shared" si="5"/>
        <v>9.9644263169334635E-8</v>
      </c>
      <c r="D13" s="33">
        <f t="shared" si="0"/>
        <v>1.7830079946430235</v>
      </c>
      <c r="E13" s="33">
        <f t="shared" si="1"/>
        <v>3.6208153902698002E-5</v>
      </c>
      <c r="F13" s="216">
        <f t="shared" si="3"/>
        <v>1.1657651204166687E-4</v>
      </c>
      <c r="G13" s="217">
        <f t="shared" si="4"/>
        <v>2.0230144419750259E-7</v>
      </c>
      <c r="I13" s="62" t="s">
        <v>99</v>
      </c>
      <c r="J13" s="30"/>
    </row>
    <row r="14" spans="1:12" x14ac:dyDescent="0.15">
      <c r="A14" s="57">
        <v>-5</v>
      </c>
      <c r="B14" s="215">
        <f t="shared" si="2"/>
        <v>4.0417959982587046E-8</v>
      </c>
      <c r="C14" s="33">
        <f t="shared" si="5"/>
        <v>2.8665157187919333E-7</v>
      </c>
      <c r="D14" s="33">
        <f t="shared" si="0"/>
        <v>1.7859692256182917</v>
      </c>
      <c r="E14" s="33">
        <f t="shared" si="1"/>
        <v>1.0041226281577069E-4</v>
      </c>
      <c r="F14" s="216">
        <f t="shared" si="3"/>
        <v>2.0097066944091944E-4</v>
      </c>
      <c r="G14" s="217">
        <f t="shared" si="4"/>
        <v>7.0827880238493183E-7</v>
      </c>
      <c r="I14" s="31" t="s">
        <v>77</v>
      </c>
      <c r="J14" s="34">
        <f>'1-D Stack'!R6</f>
        <v>1.88</v>
      </c>
    </row>
    <row r="15" spans="1:12" x14ac:dyDescent="0.15">
      <c r="A15" s="57">
        <v>-4.8</v>
      </c>
      <c r="B15" s="215">
        <f t="shared" si="2"/>
        <v>1.23267057393868E-7</v>
      </c>
      <c r="C15" s="33">
        <f t="shared" si="5"/>
        <v>7.933281519755948E-7</v>
      </c>
      <c r="D15" s="33">
        <f t="shared" si="0"/>
        <v>1.7889304565935602</v>
      </c>
      <c r="E15" s="33">
        <f t="shared" si="1"/>
        <v>2.6754408042574602E-4</v>
      </c>
      <c r="F15" s="216">
        <f t="shared" si="3"/>
        <v>3.3998803711285917E-4</v>
      </c>
      <c r="G15" s="217">
        <f t="shared" si="4"/>
        <v>2.3432059568007797E-6</v>
      </c>
      <c r="I15" s="35" t="s">
        <v>78</v>
      </c>
      <c r="J15" s="37">
        <f>'1-D Stack'!R7</f>
        <v>1.82</v>
      </c>
    </row>
    <row r="16" spans="1:12" x14ac:dyDescent="0.15">
      <c r="A16" s="57">
        <v>-4.5999999999999996</v>
      </c>
      <c r="B16" s="215">
        <f t="shared" si="2"/>
        <v>3.6120012221342811E-7</v>
      </c>
      <c r="C16" s="33">
        <f t="shared" si="5"/>
        <v>2.1124547025028533E-6</v>
      </c>
      <c r="D16" s="33">
        <f t="shared" si="0"/>
        <v>1.7918916875688287</v>
      </c>
      <c r="E16" s="33">
        <f t="shared" si="1"/>
        <v>6.8490787447391874E-4</v>
      </c>
      <c r="F16" s="216">
        <f t="shared" si="3"/>
        <v>5.6442199316157908E-4</v>
      </c>
      <c r="G16" s="217">
        <f t="shared" si="4"/>
        <v>7.3251688256376189E-6</v>
      </c>
      <c r="I16" s="27"/>
    </row>
    <row r="17" spans="1:12" x14ac:dyDescent="0.15">
      <c r="A17" s="57">
        <v>-4.4000000000000004</v>
      </c>
      <c r="B17" s="215">
        <f t="shared" si="2"/>
        <v>1.0168970072113419E-6</v>
      </c>
      <c r="C17" s="33">
        <f t="shared" si="5"/>
        <v>5.4125439077038416E-6</v>
      </c>
      <c r="D17" s="33">
        <f t="shared" si="0"/>
        <v>1.7948529185440969</v>
      </c>
      <c r="E17" s="33">
        <f t="shared" si="1"/>
        <v>1.6846015389118726E-3</v>
      </c>
      <c r="F17" s="216">
        <f t="shared" si="3"/>
        <v>9.1950385616255048E-4</v>
      </c>
      <c r="G17" s="217">
        <f t="shared" si="4"/>
        <v>2.1638431229088735E-5</v>
      </c>
      <c r="I17" s="62" t="s">
        <v>100</v>
      </c>
      <c r="J17" s="48" t="s">
        <v>83</v>
      </c>
      <c r="K17" s="48" t="s">
        <v>82</v>
      </c>
      <c r="L17" s="49" t="s">
        <v>79</v>
      </c>
    </row>
    <row r="18" spans="1:12" x14ac:dyDescent="0.15">
      <c r="A18" s="57">
        <v>-4.2</v>
      </c>
      <c r="B18" s="215">
        <f t="shared" si="2"/>
        <v>2.7506432697705447E-6</v>
      </c>
      <c r="C18" s="33">
        <f t="shared" si="5"/>
        <v>1.3345749015906309E-5</v>
      </c>
      <c r="D18" s="33">
        <f t="shared" si="0"/>
        <v>1.7978141495193654</v>
      </c>
      <c r="E18" s="33">
        <f t="shared" si="1"/>
        <v>3.9809841413129274E-3</v>
      </c>
      <c r="F18" s="216">
        <f t="shared" si="3"/>
        <v>1.4699836918995637E-3</v>
      </c>
      <c r="G18" s="217">
        <f t="shared" si="4"/>
        <v>6.0399711178827378E-5</v>
      </c>
      <c r="I18" s="31" t="s">
        <v>80</v>
      </c>
      <c r="J18" s="32">
        <f>(J14-J9)/J11</f>
        <v>1.3507895984497527</v>
      </c>
      <c r="K18" s="33">
        <f>(J14-K9)/K11</f>
        <v>0.92752396570652484</v>
      </c>
      <c r="L18" s="34">
        <f>(J14-L9)/L11</f>
        <v>3.2148051487733853</v>
      </c>
    </row>
    <row r="19" spans="1:12" x14ac:dyDescent="0.15">
      <c r="A19" s="57">
        <v>-4</v>
      </c>
      <c r="B19" s="215">
        <f t="shared" si="2"/>
        <v>7.1485801777572017E-6</v>
      </c>
      <c r="C19" s="33">
        <f t="shared" si="5"/>
        <v>3.1671241833119857E-5</v>
      </c>
      <c r="D19" s="33">
        <f t="shared" si="0"/>
        <v>1.8007753804946338</v>
      </c>
      <c r="E19" s="33">
        <f t="shared" si="1"/>
        <v>9.0388238460702968E-3</v>
      </c>
      <c r="F19" s="216">
        <f t="shared" si="3"/>
        <v>2.3061142181553156E-3</v>
      </c>
      <c r="G19" s="217">
        <f t="shared" si="4"/>
        <v>1.5931068668168798E-4</v>
      </c>
      <c r="I19" s="35" t="s">
        <v>81</v>
      </c>
      <c r="J19" s="36">
        <f>(J15-J9)/J11</f>
        <v>-2.7015791968997602</v>
      </c>
      <c r="K19" s="36">
        <f>(J14-K9)/K11</f>
        <v>0.92752396570652484</v>
      </c>
      <c r="L19" s="37">
        <f>(J15-L9)/L11</f>
        <v>-1.607402574387103</v>
      </c>
    </row>
    <row r="20" spans="1:12" x14ac:dyDescent="0.15">
      <c r="A20" s="57">
        <v>-3.8</v>
      </c>
      <c r="B20" s="215">
        <f t="shared" si="2"/>
        <v>1.784980743646823E-5</v>
      </c>
      <c r="C20" s="33">
        <f t="shared" si="5"/>
        <v>7.234804392511999E-5</v>
      </c>
      <c r="D20" s="33">
        <f t="shared" si="0"/>
        <v>1.8037366114699021</v>
      </c>
      <c r="E20" s="33">
        <f t="shared" si="1"/>
        <v>1.9717943532925386E-2</v>
      </c>
      <c r="F20" s="216">
        <f t="shared" si="3"/>
        <v>3.5502459859176991E-3</v>
      </c>
      <c r="G20" s="217">
        <f t="shared" si="4"/>
        <v>3.9705979549613132E-4</v>
      </c>
    </row>
    <row r="21" spans="1:12" x14ac:dyDescent="0.15">
      <c r="A21" s="57">
        <v>-3.6</v>
      </c>
      <c r="B21" s="215">
        <f t="shared" si="2"/>
        <v>4.2822843212986865E-5</v>
      </c>
      <c r="C21" s="33">
        <f t="shared" si="5"/>
        <v>1.5910859015753364E-4</v>
      </c>
      <c r="D21" s="33">
        <f t="shared" si="0"/>
        <v>1.8066978424451705</v>
      </c>
      <c r="E21" s="33">
        <f t="shared" si="1"/>
        <v>4.1327538123453723E-2</v>
      </c>
      <c r="F21" s="216">
        <f t="shared" si="3"/>
        <v>5.3634645150995178E-3</v>
      </c>
      <c r="G21" s="217">
        <f t="shared" si="4"/>
        <v>9.3512114385784178E-4</v>
      </c>
      <c r="I21" s="28" t="s">
        <v>102</v>
      </c>
      <c r="J21" s="29"/>
      <c r="K21" s="29"/>
      <c r="L21" s="30"/>
    </row>
    <row r="22" spans="1:12" x14ac:dyDescent="0.15">
      <c r="A22" s="57">
        <v>-3.4</v>
      </c>
      <c r="B22" s="215">
        <f t="shared" si="2"/>
        <v>9.8706484165881974E-5</v>
      </c>
      <c r="C22" s="33">
        <f t="shared" si="5"/>
        <v>3.369292656768808E-4</v>
      </c>
      <c r="D22" s="33">
        <f t="shared" si="0"/>
        <v>1.8096590734204387</v>
      </c>
      <c r="E22" s="33">
        <f t="shared" si="1"/>
        <v>8.3223441789191471E-2</v>
      </c>
      <c r="F22" s="216">
        <f t="shared" si="3"/>
        <v>7.9513654282702372E-3</v>
      </c>
      <c r="G22" s="217">
        <f t="shared" si="4"/>
        <v>2.0810417659176757E-3</v>
      </c>
      <c r="I22" s="31" t="s">
        <v>43</v>
      </c>
      <c r="J22" s="33">
        <f>(J14-J15)/(6*J11)</f>
        <v>0.67539479922491885</v>
      </c>
      <c r="K22" s="33">
        <f>(J14-J15)/(6*K11)</f>
        <v>0.46376198285329157</v>
      </c>
      <c r="L22" s="34">
        <f>(J14-J15)/(6*L11)</f>
        <v>0.8037012871934146</v>
      </c>
    </row>
    <row r="23" spans="1:12" x14ac:dyDescent="0.15">
      <c r="A23" s="57">
        <v>-3.2</v>
      </c>
      <c r="B23" s="215">
        <f t="shared" si="2"/>
        <v>2.1859694488678648E-4</v>
      </c>
      <c r="C23" s="33">
        <f t="shared" si="5"/>
        <v>6.8713793791584719E-4</v>
      </c>
      <c r="D23" s="33">
        <f t="shared" si="0"/>
        <v>1.8126203043957072</v>
      </c>
      <c r="E23" s="33">
        <f t="shared" si="1"/>
        <v>0.16102007721628467</v>
      </c>
      <c r="F23" s="216">
        <f t="shared" si="3"/>
        <v>1.1567708861116476E-2</v>
      </c>
      <c r="G23" s="217">
        <f t="shared" si="4"/>
        <v>4.3761749253355244E-3</v>
      </c>
      <c r="I23" s="31" t="s">
        <v>44</v>
      </c>
      <c r="J23" s="33">
        <f>1-J24/J22</f>
        <v>0.33333333333337534</v>
      </c>
      <c r="K23" s="33">
        <f>1-K24/K22</f>
        <v>0.33333333333337523</v>
      </c>
      <c r="L23" s="34">
        <f>1-L24/L22</f>
        <v>0.33333333333321979</v>
      </c>
    </row>
    <row r="24" spans="1:12" x14ac:dyDescent="0.15">
      <c r="A24" s="57">
        <v>-3</v>
      </c>
      <c r="B24" s="215">
        <f t="shared" si="2"/>
        <v>4.6512610374653448E-4</v>
      </c>
      <c r="C24" s="33">
        <f t="shared" si="5"/>
        <v>1.3498980316300933E-3</v>
      </c>
      <c r="D24" s="33">
        <f t="shared" si="0"/>
        <v>1.8155815353709757</v>
      </c>
      <c r="E24" s="33">
        <f t="shared" si="1"/>
        <v>0.29932473683761968</v>
      </c>
      <c r="F24" s="216">
        <f t="shared" si="3"/>
        <v>1.6514381804972784E-2</v>
      </c>
      <c r="G24" s="217">
        <f t="shared" si="4"/>
        <v>8.6957992993657845E-3</v>
      </c>
      <c r="I24" s="35" t="s">
        <v>45</v>
      </c>
      <c r="J24" s="36">
        <f>MIN(J18,ABS(J19))/3</f>
        <v>0.45026319948325089</v>
      </c>
      <c r="K24" s="36">
        <f>MIN(K18,ABS(K19))/3</f>
        <v>0.3091746552355083</v>
      </c>
      <c r="L24" s="37">
        <f>MIN(L18,ABS(L19))/3</f>
        <v>0.53580085812903433</v>
      </c>
    </row>
    <row r="25" spans="1:12" x14ac:dyDescent="0.15">
      <c r="A25" s="57">
        <v>-2.8</v>
      </c>
      <c r="B25" s="215">
        <f t="shared" si="2"/>
        <v>9.5087966519632886E-4</v>
      </c>
      <c r="C25" s="33">
        <f t="shared" si="5"/>
        <v>2.5551303304279312E-3</v>
      </c>
      <c r="D25" s="33">
        <f t="shared" si="0"/>
        <v>1.8185427663462439</v>
      </c>
      <c r="E25" s="33">
        <f t="shared" si="1"/>
        <v>0.534605483266127</v>
      </c>
      <c r="F25" s="216">
        <f t="shared" si="3"/>
        <v>2.3135912195993646E-2</v>
      </c>
      <c r="G25" s="217">
        <f t="shared" si="4"/>
        <v>1.6327710787585527E-2</v>
      </c>
    </row>
    <row r="26" spans="1:12" ht="18" x14ac:dyDescent="0.2">
      <c r="A26" s="57">
        <v>-2.6</v>
      </c>
      <c r="B26" s="215">
        <f t="shared" si="2"/>
        <v>1.8677064866173417E-3</v>
      </c>
      <c r="C26" s="33">
        <f t="shared" si="5"/>
        <v>4.6611880237187476E-3</v>
      </c>
      <c r="D26" s="33">
        <f t="shared" si="0"/>
        <v>1.8215039973215124</v>
      </c>
      <c r="E26" s="33">
        <f t="shared" si="1"/>
        <v>0.91738667784634031</v>
      </c>
      <c r="F26" s="216">
        <f t="shared" si="3"/>
        <v>3.1806821285189718E-2</v>
      </c>
      <c r="G26" s="217">
        <f t="shared" si="4"/>
        <v>2.8969569934308707E-2</v>
      </c>
      <c r="I26" s="62" t="s">
        <v>60</v>
      </c>
      <c r="J26" s="41" t="s">
        <v>101</v>
      </c>
      <c r="K26" s="29"/>
      <c r="L26" s="30"/>
    </row>
    <row r="27" spans="1:12" x14ac:dyDescent="0.15">
      <c r="A27" s="57">
        <v>-2.4</v>
      </c>
      <c r="B27" s="215">
        <f t="shared" si="2"/>
        <v>3.5246817913336475E-3</v>
      </c>
      <c r="C27" s="33">
        <f t="shared" si="5"/>
        <v>8.1975359245961311E-3</v>
      </c>
      <c r="D27" s="33">
        <f t="shared" si="0"/>
        <v>1.8244652282967808</v>
      </c>
      <c r="E27" s="33">
        <f t="shared" si="1"/>
        <v>1.5125149292222069</v>
      </c>
      <c r="F27" s="216">
        <f t="shared" si="3"/>
        <v>4.2910467382105931E-2</v>
      </c>
      <c r="G27" s="217">
        <f t="shared" si="4"/>
        <v>4.856906624487245E-2</v>
      </c>
      <c r="I27" s="31" t="s">
        <v>124</v>
      </c>
      <c r="J27" s="33">
        <f>(J14+J15)/2</f>
        <v>1.85</v>
      </c>
      <c r="K27" s="210" t="s">
        <v>129</v>
      </c>
      <c r="L27" s="34"/>
    </row>
    <row r="28" spans="1:12" x14ac:dyDescent="0.15">
      <c r="A28" s="57">
        <v>-2.2000000000000002</v>
      </c>
      <c r="B28" s="215">
        <f t="shared" si="2"/>
        <v>6.3908617603576105E-3</v>
      </c>
      <c r="C28" s="33">
        <f t="shared" si="5"/>
        <v>1.3903447513498597E-2</v>
      </c>
      <c r="D28" s="33">
        <f t="shared" si="0"/>
        <v>1.8274264592720491</v>
      </c>
      <c r="E28" s="33">
        <f t="shared" si="1"/>
        <v>2.3959355512966165</v>
      </c>
      <c r="F28" s="216">
        <f t="shared" si="3"/>
        <v>5.6808792217144459E-2</v>
      </c>
      <c r="G28" s="217">
        <f t="shared" si="4"/>
        <v>7.6944648061487084E-2</v>
      </c>
      <c r="I28" s="42"/>
      <c r="J28" s="33" t="s">
        <v>126</v>
      </c>
      <c r="K28" s="33" t="s">
        <v>127</v>
      </c>
      <c r="L28" s="34" t="s">
        <v>128</v>
      </c>
    </row>
    <row r="29" spans="1:12" x14ac:dyDescent="0.15">
      <c r="A29" s="57">
        <v>-2</v>
      </c>
      <c r="B29" s="215">
        <f t="shared" si="2"/>
        <v>1.1133383083889446E-2</v>
      </c>
      <c r="C29" s="33">
        <f t="shared" si="5"/>
        <v>2.2750131948179191E-2</v>
      </c>
      <c r="D29" s="33">
        <f t="shared" si="0"/>
        <v>1.8303876902473175</v>
      </c>
      <c r="E29" s="33">
        <f t="shared" si="1"/>
        <v>3.6465217988134309</v>
      </c>
      <c r="F29" s="216">
        <f t="shared" si="3"/>
        <v>7.3803541498368458E-2</v>
      </c>
      <c r="G29" s="217">
        <f t="shared" si="4"/>
        <v>0.11518556006829446</v>
      </c>
      <c r="I29" s="35" t="s">
        <v>125</v>
      </c>
      <c r="J29" s="36">
        <f>(J9-$J$27)/$J$11</f>
        <v>0.67539479922499635</v>
      </c>
      <c r="K29" s="36">
        <f>(K9-$J$27)/$J$11</f>
        <v>0.67539479922499635</v>
      </c>
      <c r="L29" s="37">
        <f>(L9-$J$27)/$J$11</f>
        <v>-0.67539479922469636</v>
      </c>
    </row>
    <row r="30" spans="1:12" x14ac:dyDescent="0.15">
      <c r="A30" s="57">
        <v>-1.8</v>
      </c>
      <c r="B30" s="215">
        <f t="shared" si="2"/>
        <v>1.8634729921755858E-2</v>
      </c>
      <c r="C30" s="33">
        <f t="shared" si="5"/>
        <v>3.5930319112925789E-2</v>
      </c>
      <c r="D30" s="33">
        <f t="shared" si="0"/>
        <v>1.8333489212225857</v>
      </c>
      <c r="E30" s="33">
        <f t="shared" si="1"/>
        <v>5.3322526314407543</v>
      </c>
      <c r="F30" s="216">
        <f t="shared" si="3"/>
        <v>9.4091021435078775E-2</v>
      </c>
      <c r="G30" s="217">
        <f t="shared" si="4"/>
        <v>0.16293658752750276</v>
      </c>
    </row>
    <row r="31" spans="1:12" x14ac:dyDescent="0.15">
      <c r="A31" s="57">
        <v>-1.6</v>
      </c>
      <c r="B31" s="215">
        <f t="shared" si="2"/>
        <v>2.9967276398580659E-2</v>
      </c>
      <c r="C31" s="33">
        <f t="shared" si="5"/>
        <v>5.4799291699557967E-2</v>
      </c>
      <c r="D31" s="33">
        <f t="shared" si="0"/>
        <v>1.8363101521978542</v>
      </c>
      <c r="E31" s="33">
        <f t="shared" si="1"/>
        <v>7.4915354868191484</v>
      </c>
      <c r="F31" s="216">
        <f t="shared" si="3"/>
        <v>0.11771410342501423</v>
      </c>
      <c r="G31" s="217">
        <f t="shared" si="4"/>
        <v>0.21779111172018165</v>
      </c>
      <c r="J31" s="1" t="s">
        <v>93</v>
      </c>
    </row>
    <row r="32" spans="1:12" x14ac:dyDescent="0.15">
      <c r="A32" s="57">
        <v>-1.4</v>
      </c>
      <c r="B32" s="215">
        <f t="shared" si="2"/>
        <v>4.630199086687873E-2</v>
      </c>
      <c r="C32" s="33">
        <f t="shared" si="5"/>
        <v>8.0756659233771053E-2</v>
      </c>
      <c r="D32" s="33">
        <f t="shared" si="0"/>
        <v>1.8392713831731227</v>
      </c>
      <c r="E32" s="33">
        <f t="shared" si="1"/>
        <v>10.112515159151084</v>
      </c>
      <c r="F32" s="216">
        <f t="shared" si="3"/>
        <v>0.14451673794674622</v>
      </c>
      <c r="G32" s="217">
        <f t="shared" si="4"/>
        <v>0.27508229846971621</v>
      </c>
      <c r="J32" s="1" t="s">
        <v>90</v>
      </c>
      <c r="K32" s="1" t="s">
        <v>79</v>
      </c>
      <c r="L32" s="1" t="s">
        <v>79</v>
      </c>
    </row>
    <row r="33" spans="1:12" ht="18" x14ac:dyDescent="0.2">
      <c r="A33" s="57">
        <v>-1.2</v>
      </c>
      <c r="B33" s="215">
        <f t="shared" si="2"/>
        <v>6.873537037088466E-2</v>
      </c>
      <c r="C33" s="33">
        <f t="shared" si="5"/>
        <v>0.11506967022170828</v>
      </c>
      <c r="D33" s="33">
        <f t="shared" si="0"/>
        <v>1.8422326141483909</v>
      </c>
      <c r="E33" s="33">
        <f t="shared" si="1"/>
        <v>13.115225161766592</v>
      </c>
      <c r="F33" s="216">
        <f t="shared" si="3"/>
        <v>0.17410736222529655</v>
      </c>
      <c r="G33" s="217">
        <f t="shared" si="4"/>
        <v>0.32831149933691173</v>
      </c>
      <c r="J33" s="4" t="s">
        <v>92</v>
      </c>
      <c r="K33" s="26" t="s">
        <v>91</v>
      </c>
      <c r="L33" s="26" t="s">
        <v>84</v>
      </c>
    </row>
    <row r="34" spans="1:12" x14ac:dyDescent="0.15">
      <c r="A34" s="57">
        <v>-0.99999999999999911</v>
      </c>
      <c r="B34" s="215">
        <f t="shared" si="2"/>
        <v>9.8036796152451866E-2</v>
      </c>
      <c r="C34" s="33">
        <f t="shared" si="5"/>
        <v>0.15865525393145727</v>
      </c>
      <c r="D34" s="33">
        <f t="shared" si="0"/>
        <v>1.8451938451236594</v>
      </c>
      <c r="E34" s="33">
        <f t="shared" si="1"/>
        <v>16.342576890491571</v>
      </c>
      <c r="F34" s="216">
        <f t="shared" si="3"/>
        <v>0.20583795412483935</v>
      </c>
      <c r="G34" s="217">
        <f t="shared" si="4"/>
        <v>0.37026315870167681</v>
      </c>
      <c r="J34" s="4" t="s">
        <v>80</v>
      </c>
      <c r="K34" s="1">
        <f>(J50-L29)*J11/L11</f>
        <v>3.2148051487733853</v>
      </c>
      <c r="L34" s="25">
        <f>(J14-L9)/L11</f>
        <v>3.2148051487733853</v>
      </c>
    </row>
    <row r="35" spans="1:12" x14ac:dyDescent="0.15">
      <c r="A35" s="57">
        <v>-0.8</v>
      </c>
      <c r="B35" s="215">
        <f t="shared" si="2"/>
        <v>0.13434644029960127</v>
      </c>
      <c r="C35" s="33">
        <f t="shared" si="5"/>
        <v>0.21185539858339661</v>
      </c>
      <c r="D35" s="33">
        <f t="shared" si="0"/>
        <v>1.8481550760989278</v>
      </c>
      <c r="E35" s="33">
        <f t="shared" si="1"/>
        <v>19.565616811449832</v>
      </c>
      <c r="F35" s="216">
        <f t="shared" si="3"/>
        <v>0.23880483324917731</v>
      </c>
      <c r="G35" s="217">
        <f t="shared" si="4"/>
        <v>0.39458072493930213</v>
      </c>
      <c r="J35" s="4" t="s">
        <v>81</v>
      </c>
      <c r="K35" s="1">
        <f>(J52-L29)*J11/L11</f>
        <v>-1.607402574387103</v>
      </c>
      <c r="L35" s="25">
        <f>(J15-L9)/L11</f>
        <v>-1.607402574387103</v>
      </c>
    </row>
    <row r="36" spans="1:12" x14ac:dyDescent="0.15">
      <c r="A36" s="57">
        <v>-0.6</v>
      </c>
      <c r="B36" s="215">
        <f t="shared" si="2"/>
        <v>0.17688517598838074</v>
      </c>
      <c r="C36" s="33">
        <f t="shared" si="5"/>
        <v>0.27425311775007355</v>
      </c>
      <c r="D36" s="33">
        <f t="shared" si="0"/>
        <v>1.8511163070741961</v>
      </c>
      <c r="E36" s="33">
        <f t="shared" si="1"/>
        <v>22.505816376691069</v>
      </c>
      <c r="F36" s="216">
        <f t="shared" si="3"/>
        <v>0.27187551879527683</v>
      </c>
      <c r="G36" s="217">
        <f t="shared" si="4"/>
        <v>0.39733990929175078</v>
      </c>
    </row>
    <row r="37" spans="1:12" x14ac:dyDescent="0.15">
      <c r="A37" s="57">
        <v>-0.39999999999999947</v>
      </c>
      <c r="B37" s="215">
        <f t="shared" si="2"/>
        <v>0.22376127762484277</v>
      </c>
      <c r="C37" s="33">
        <f t="shared" si="5"/>
        <v>0.34457825838967604</v>
      </c>
      <c r="D37" s="33">
        <f t="shared" si="0"/>
        <v>1.8540775380494645</v>
      </c>
      <c r="E37" s="33">
        <f t="shared" si="1"/>
        <v>24.872773747069679</v>
      </c>
      <c r="F37" s="216">
        <f t="shared" si="3"/>
        <v>0.30374310529529197</v>
      </c>
      <c r="G37" s="217">
        <f t="shared" si="4"/>
        <v>0.37808501728803784</v>
      </c>
    </row>
    <row r="38" spans="1:12" x14ac:dyDescent="0.15">
      <c r="A38" s="57">
        <v>-0.19999999999999929</v>
      </c>
      <c r="B38" s="215">
        <f t="shared" si="2"/>
        <v>0.27196101220004981</v>
      </c>
      <c r="C38" s="33">
        <f t="shared" si="5"/>
        <v>0.42074029056089723</v>
      </c>
      <c r="D38" s="33">
        <f t="shared" si="0"/>
        <v>1.8570387690247327</v>
      </c>
      <c r="E38" s="33">
        <f t="shared" si="1"/>
        <v>26.410820178592484</v>
      </c>
      <c r="F38" s="216">
        <f t="shared" si="3"/>
        <v>0.33300602344227198</v>
      </c>
      <c r="G38" s="217">
        <f t="shared" si="4"/>
        <v>0.33995208102879243</v>
      </c>
      <c r="I38" s="28" t="s">
        <v>95</v>
      </c>
      <c r="J38" s="29" t="s">
        <v>114</v>
      </c>
      <c r="K38" s="30"/>
    </row>
    <row r="39" spans="1:12" x14ac:dyDescent="0.15">
      <c r="A39" s="57">
        <v>8.8817841970012523E-16</v>
      </c>
      <c r="B39" s="215">
        <f t="shared" si="2"/>
        <v>0.31758251628187328</v>
      </c>
      <c r="C39" s="33">
        <f t="shared" si="5"/>
        <v>0.50000000000000033</v>
      </c>
      <c r="D39" s="33">
        <f t="shared" si="0"/>
        <v>1.8600000000000012</v>
      </c>
      <c r="E39" s="33">
        <f t="shared" si="1"/>
        <v>26.944354137405767</v>
      </c>
      <c r="F39" s="216">
        <f t="shared" si="3"/>
        <v>0.35826722890724239</v>
      </c>
      <c r="G39" s="217">
        <f t="shared" si="4"/>
        <v>0.2888330577205962</v>
      </c>
      <c r="I39" s="173" t="s">
        <v>96</v>
      </c>
      <c r="J39" s="33">
        <f>IF('1-D Stack'!D51="p", 1, 0)</f>
        <v>1</v>
      </c>
      <c r="K39" s="34"/>
    </row>
    <row r="40" spans="1:12" x14ac:dyDescent="0.15">
      <c r="A40" s="57">
        <v>0.2</v>
      </c>
      <c r="B40" s="215">
        <f t="shared" si="2"/>
        <v>0.35631552276161582</v>
      </c>
      <c r="C40" s="33">
        <f t="shared" si="5"/>
        <v>0.57925970943910299</v>
      </c>
      <c r="D40" s="33">
        <f t="shared" si="0"/>
        <v>1.8629612309752697</v>
      </c>
      <c r="E40" s="33">
        <f t="shared" si="1"/>
        <v>26.410820178592484</v>
      </c>
      <c r="F40" s="216">
        <f t="shared" si="3"/>
        <v>0.37824344900820539</v>
      </c>
      <c r="G40" s="217">
        <f t="shared" si="4"/>
        <v>0.2318873454990055</v>
      </c>
      <c r="I40" s="173" t="s">
        <v>98</v>
      </c>
      <c r="J40" s="33">
        <f>IF('1-D Stack'!D52="p", 1, 0)</f>
        <v>1</v>
      </c>
      <c r="K40" s="34"/>
    </row>
    <row r="41" spans="1:12" x14ac:dyDescent="0.15">
      <c r="A41" s="57">
        <v>0.4</v>
      </c>
      <c r="B41" s="215">
        <f t="shared" si="2"/>
        <v>0.38409718175552832</v>
      </c>
      <c r="C41" s="33">
        <f t="shared" si="5"/>
        <v>0.65542174161032429</v>
      </c>
      <c r="D41" s="33">
        <f t="shared" ref="D41:D69" si="6">A41*$J$11+$J$9</f>
        <v>1.8659224619505379</v>
      </c>
      <c r="E41" s="33">
        <f t="shared" ref="E41:E69" si="7">NORMDIST(D41,$J$9,$J$11,FALSE)</f>
        <v>24.872773747069679</v>
      </c>
      <c r="F41" s="216">
        <f t="shared" si="3"/>
        <v>0.39187276418049688</v>
      </c>
      <c r="G41" s="217">
        <f t="shared" si="4"/>
        <v>0.17591714070184095</v>
      </c>
      <c r="I41" s="174" t="s">
        <v>97</v>
      </c>
      <c r="J41" s="36">
        <f>IF('1-D Stack'!D53="p", 1, 0)</f>
        <v>1</v>
      </c>
      <c r="K41" s="37"/>
    </row>
    <row r="42" spans="1:12" x14ac:dyDescent="0.15">
      <c r="A42" s="57">
        <v>0.60000000000000053</v>
      </c>
      <c r="B42" s="215">
        <f t="shared" si="2"/>
        <v>0.39781002129796517</v>
      </c>
      <c r="C42" s="33">
        <f t="shared" si="5"/>
        <v>0.72574688224992667</v>
      </c>
      <c r="D42" s="33">
        <f t="shared" si="6"/>
        <v>1.8688836929258064</v>
      </c>
      <c r="E42" s="33">
        <f t="shared" si="7"/>
        <v>22.505816376691069</v>
      </c>
      <c r="F42" s="216">
        <f t="shared" si="3"/>
        <v>0.3984080276685914</v>
      </c>
      <c r="G42" s="217">
        <f t="shared" si="4"/>
        <v>0.12610729881182167</v>
      </c>
    </row>
    <row r="43" spans="1:12" x14ac:dyDescent="0.15">
      <c r="A43" s="57">
        <v>0.80000000000000071</v>
      </c>
      <c r="B43" s="215">
        <f t="shared" si="2"/>
        <v>0.39585719112785089</v>
      </c>
      <c r="C43" s="33">
        <f t="shared" si="5"/>
        <v>0.78814460141660359</v>
      </c>
      <c r="D43" s="33">
        <f t="shared" si="6"/>
        <v>1.8718449239010748</v>
      </c>
      <c r="E43" s="33">
        <f t="shared" si="7"/>
        <v>19.565616811449601</v>
      </c>
      <c r="F43" s="216">
        <f t="shared" si="3"/>
        <v>0.39748469942846781</v>
      </c>
      <c r="G43" s="217">
        <f t="shared" si="4"/>
        <v>8.5422690579466234E-2</v>
      </c>
    </row>
    <row r="44" spans="1:12" x14ac:dyDescent="0.15">
      <c r="A44" s="57">
        <v>1</v>
      </c>
      <c r="B44" s="215">
        <f t="shared" si="2"/>
        <v>0.37846836050705318</v>
      </c>
      <c r="C44" s="33">
        <f t="shared" si="5"/>
        <v>0.84134474606854304</v>
      </c>
      <c r="D44" s="33">
        <f t="shared" si="6"/>
        <v>1.8748061548763431</v>
      </c>
      <c r="E44" s="33">
        <f t="shared" si="7"/>
        <v>16.342576890491571</v>
      </c>
      <c r="F44" s="216">
        <f t="shared" si="3"/>
        <v>0.38915452612882351</v>
      </c>
      <c r="G44" s="217">
        <f t="shared" si="4"/>
        <v>5.4677320910459376E-2</v>
      </c>
      <c r="I44" s="28" t="s">
        <v>49</v>
      </c>
      <c r="J44" s="29"/>
      <c r="K44" s="30"/>
    </row>
    <row r="45" spans="1:12" x14ac:dyDescent="0.15">
      <c r="A45" s="57">
        <v>1.2</v>
      </c>
      <c r="B45" s="215">
        <f t="shared" si="2"/>
        <v>0.34765528810694263</v>
      </c>
      <c r="C45" s="33">
        <f t="shared" si="5"/>
        <v>0.88493032977829178</v>
      </c>
      <c r="D45" s="33">
        <f t="shared" si="6"/>
        <v>1.8777673858516115</v>
      </c>
      <c r="E45" s="33">
        <f t="shared" si="7"/>
        <v>13.115225161766592</v>
      </c>
      <c r="F45" s="216">
        <f t="shared" si="3"/>
        <v>0.37388073779718639</v>
      </c>
      <c r="G45" s="217">
        <f t="shared" si="4"/>
        <v>3.3070606859514316E-2</v>
      </c>
      <c r="I45" s="42"/>
      <c r="J45" s="43" t="s">
        <v>50</v>
      </c>
      <c r="K45" s="44" t="s">
        <v>51</v>
      </c>
    </row>
    <row r="46" spans="1:12" x14ac:dyDescent="0.15">
      <c r="A46" s="57">
        <v>1.4</v>
      </c>
      <c r="B46" s="215">
        <f t="shared" si="2"/>
        <v>0.30682894113070353</v>
      </c>
      <c r="C46" s="33">
        <f t="shared" si="5"/>
        <v>0.91924334076622893</v>
      </c>
      <c r="D46" s="33">
        <f t="shared" si="6"/>
        <v>1.8807286168268798</v>
      </c>
      <c r="E46" s="33">
        <f t="shared" si="7"/>
        <v>10.112515159151084</v>
      </c>
      <c r="F46" s="216">
        <f t="shared" si="3"/>
        <v>0.35249538145434184</v>
      </c>
      <c r="G46" s="217">
        <f t="shared" si="4"/>
        <v>1.8900707425577663E-2</v>
      </c>
      <c r="I46" s="31" t="s">
        <v>54</v>
      </c>
      <c r="J46" s="45">
        <f>MIN(D9:D69)</f>
        <v>1.7711630707419499</v>
      </c>
      <c r="K46" s="46">
        <f>MAX(D9:D69)</f>
        <v>1.9488369292580525</v>
      </c>
    </row>
    <row r="47" spans="1:12" x14ac:dyDescent="0.15">
      <c r="A47" s="57">
        <v>1.6</v>
      </c>
      <c r="B47" s="215">
        <f t="shared" si="2"/>
        <v>0.26017887028891362</v>
      </c>
      <c r="C47" s="33">
        <f t="shared" si="5"/>
        <v>0.94520070830044201</v>
      </c>
      <c r="D47" s="33">
        <f t="shared" si="6"/>
        <v>1.8836898478021482</v>
      </c>
      <c r="E47" s="33">
        <f t="shared" si="7"/>
        <v>7.4915354868191484</v>
      </c>
      <c r="F47" s="216">
        <f t="shared" si="3"/>
        <v>0.3261242595080851</v>
      </c>
      <c r="G47" s="217">
        <f t="shared" si="4"/>
        <v>1.020739477941617E-2</v>
      </c>
      <c r="I47" s="35" t="s">
        <v>52</v>
      </c>
      <c r="J47" s="36">
        <v>0</v>
      </c>
      <c r="K47" s="47">
        <f>B39</f>
        <v>0.31758251628187328</v>
      </c>
    </row>
    <row r="48" spans="1:12" x14ac:dyDescent="0.15">
      <c r="A48" s="57">
        <v>1.8</v>
      </c>
      <c r="B48" s="215">
        <f t="shared" si="2"/>
        <v>0.21197075498500997</v>
      </c>
      <c r="C48" s="33">
        <f t="shared" si="5"/>
        <v>0.96406968088707423</v>
      </c>
      <c r="D48" s="33">
        <f t="shared" si="6"/>
        <v>1.8866510787774167</v>
      </c>
      <c r="E48" s="33">
        <f t="shared" si="7"/>
        <v>5.3322526314407543</v>
      </c>
      <c r="F48" s="216">
        <f t="shared" si="3"/>
        <v>0.29608889274580813</v>
      </c>
      <c r="G48" s="217">
        <f t="shared" si="4"/>
        <v>5.2089803773826531E-3</v>
      </c>
    </row>
    <row r="49" spans="1:12" x14ac:dyDescent="0.15">
      <c r="A49" s="57">
        <v>2</v>
      </c>
      <c r="B49" s="215">
        <f t="shared" si="2"/>
        <v>0.16592357268367849</v>
      </c>
      <c r="C49" s="33">
        <f t="shared" si="5"/>
        <v>0.97724986805182079</v>
      </c>
      <c r="D49" s="33">
        <f t="shared" si="6"/>
        <v>1.8896123097526849</v>
      </c>
      <c r="E49" s="33">
        <f t="shared" si="7"/>
        <v>3.6465217988134309</v>
      </c>
      <c r="F49" s="216">
        <f t="shared" si="3"/>
        <v>0.26379736958482625</v>
      </c>
      <c r="G49" s="217">
        <f t="shared" si="4"/>
        <v>2.5118372020212078E-3</v>
      </c>
      <c r="I49" s="28" t="s">
        <v>94</v>
      </c>
      <c r="J49" s="29"/>
      <c r="K49" s="29"/>
      <c r="L49" s="30"/>
    </row>
    <row r="50" spans="1:12" x14ac:dyDescent="0.15">
      <c r="A50" s="57">
        <v>2.2000000000000002</v>
      </c>
      <c r="B50" s="215">
        <f t="shared" si="2"/>
        <v>0.12478674453874006</v>
      </c>
      <c r="C50" s="33">
        <f t="shared" si="5"/>
        <v>0.98609655248650141</v>
      </c>
      <c r="D50" s="33">
        <f t="shared" si="6"/>
        <v>1.8925735407279534</v>
      </c>
      <c r="E50" s="33">
        <f t="shared" si="7"/>
        <v>2.3959355512966165</v>
      </c>
      <c r="F50" s="216">
        <f t="shared" si="3"/>
        <v>0.23063655398641625</v>
      </c>
      <c r="G50" s="217">
        <f t="shared" si="4"/>
        <v>1.1445406255232039E-3</v>
      </c>
      <c r="I50" s="31" t="s">
        <v>66</v>
      </c>
      <c r="J50" s="32">
        <f>(J14-$J$27)/$J$11</f>
        <v>2.0261843976747489</v>
      </c>
      <c r="K50" s="33"/>
      <c r="L50" s="34">
        <v>0</v>
      </c>
    </row>
    <row r="51" spans="1:12" x14ac:dyDescent="0.15">
      <c r="A51" s="57">
        <v>2.4</v>
      </c>
      <c r="B51" s="215">
        <f t="shared" si="2"/>
        <v>9.0168955746875834E-2</v>
      </c>
      <c r="C51" s="33">
        <f t="shared" si="5"/>
        <v>0.99180246407540384</v>
      </c>
      <c r="D51" s="33">
        <f t="shared" si="6"/>
        <v>1.8955347717032216</v>
      </c>
      <c r="E51" s="33">
        <f t="shared" si="7"/>
        <v>1.5125149292222069</v>
      </c>
      <c r="F51" s="216">
        <f t="shared" si="3"/>
        <v>0.19787692608291141</v>
      </c>
      <c r="G51" s="217">
        <f t="shared" si="4"/>
        <v>4.9280135596118453E-4</v>
      </c>
      <c r="I51" s="31"/>
      <c r="J51" s="32">
        <f>(J14-$J$27)/$J$11</f>
        <v>2.0261843976747489</v>
      </c>
      <c r="K51" s="33"/>
      <c r="L51" s="34">
        <v>0.4</v>
      </c>
    </row>
    <row r="52" spans="1:12" x14ac:dyDescent="0.15">
      <c r="A52" s="57">
        <v>2.6</v>
      </c>
      <c r="B52" s="215">
        <f t="shared" si="2"/>
        <v>6.2599929778258706E-2</v>
      </c>
      <c r="C52" s="33">
        <f t="shared" si="5"/>
        <v>0.99533881197628127</v>
      </c>
      <c r="D52" s="33">
        <f t="shared" si="6"/>
        <v>1.8984960026784901</v>
      </c>
      <c r="E52" s="33">
        <f t="shared" si="7"/>
        <v>0.91738667784634031</v>
      </c>
      <c r="F52" s="216">
        <f t="shared" si="3"/>
        <v>0.16659866034914719</v>
      </c>
      <c r="G52" s="217">
        <f t="shared" si="4"/>
        <v>2.0049961036885719E-4</v>
      </c>
      <c r="I52" s="31" t="s">
        <v>67</v>
      </c>
      <c r="J52" s="32">
        <f>(J15-$J$27)/$J$11</f>
        <v>-2.026184397674764</v>
      </c>
      <c r="K52" s="33"/>
      <c r="L52" s="34">
        <v>0</v>
      </c>
    </row>
    <row r="53" spans="1:12" x14ac:dyDescent="0.15">
      <c r="A53" s="57">
        <v>2.8</v>
      </c>
      <c r="B53" s="215">
        <f t="shared" si="2"/>
        <v>4.1755998440468359E-2</v>
      </c>
      <c r="C53" s="33">
        <f t="shared" si="5"/>
        <v>0.99744486966957202</v>
      </c>
      <c r="D53" s="33">
        <f t="shared" si="6"/>
        <v>1.9014572336537585</v>
      </c>
      <c r="E53" s="33">
        <f t="shared" si="7"/>
        <v>0.534605483266127</v>
      </c>
      <c r="F53" s="216">
        <f t="shared" si="3"/>
        <v>0.13764396972727233</v>
      </c>
      <c r="G53" s="217">
        <f t="shared" si="4"/>
        <v>7.7082559914379148E-5</v>
      </c>
      <c r="I53" s="35"/>
      <c r="J53" s="220">
        <f>(J15-$J$27)/$J$11</f>
        <v>-2.026184397674764</v>
      </c>
      <c r="K53" s="36"/>
      <c r="L53" s="37">
        <v>0.4</v>
      </c>
    </row>
    <row r="54" spans="1:12" x14ac:dyDescent="0.15">
      <c r="A54" s="57">
        <v>3</v>
      </c>
      <c r="B54" s="215">
        <f t="shared" si="2"/>
        <v>2.6760370381898567E-2</v>
      </c>
      <c r="C54" s="33">
        <f t="shared" si="5"/>
        <v>0.9986501019683699</v>
      </c>
      <c r="D54" s="33">
        <f t="shared" si="6"/>
        <v>1.9044184646290268</v>
      </c>
      <c r="E54" s="33">
        <f t="shared" si="7"/>
        <v>0.29932473683761968</v>
      </c>
      <c r="F54" s="216">
        <f t="shared" si="3"/>
        <v>0.11159692010356177</v>
      </c>
      <c r="G54" s="217">
        <f t="shared" si="4"/>
        <v>2.8002685486577773E-5</v>
      </c>
    </row>
    <row r="55" spans="1:12" x14ac:dyDescent="0.15">
      <c r="A55" s="57">
        <v>3.2</v>
      </c>
      <c r="B55" s="215">
        <f t="shared" si="2"/>
        <v>1.6477586044784307E-2</v>
      </c>
      <c r="C55" s="33">
        <f t="shared" si="5"/>
        <v>0.99931286206208414</v>
      </c>
      <c r="D55" s="33">
        <f t="shared" si="6"/>
        <v>1.9073796956042952</v>
      </c>
      <c r="E55" s="33">
        <f t="shared" si="7"/>
        <v>0.16102007721628467</v>
      </c>
      <c r="F55" s="216">
        <f t="shared" si="3"/>
        <v>8.8788468176573501E-2</v>
      </c>
      <c r="G55" s="217">
        <f t="shared" si="4"/>
        <v>9.6126735423338693E-6</v>
      </c>
    </row>
    <row r="56" spans="1:12" x14ac:dyDescent="0.15">
      <c r="A56" s="57">
        <v>3.4</v>
      </c>
      <c r="B56" s="215">
        <f t="shared" si="2"/>
        <v>9.7481741005364751E-3</v>
      </c>
      <c r="C56" s="33">
        <f t="shared" si="5"/>
        <v>0.99966307073432314</v>
      </c>
      <c r="D56" s="33">
        <f t="shared" si="6"/>
        <v>1.9103409265795637</v>
      </c>
      <c r="E56" s="33">
        <f t="shared" si="7"/>
        <v>8.3223441789191471E-2</v>
      </c>
      <c r="F56" s="216">
        <f t="shared" si="3"/>
        <v>6.9321867320602415E-2</v>
      </c>
      <c r="G56" s="217">
        <f t="shared" si="4"/>
        <v>3.1180972878733764E-6</v>
      </c>
    </row>
    <row r="57" spans="1:12" x14ac:dyDescent="0.15">
      <c r="A57" s="57">
        <v>3.6</v>
      </c>
      <c r="B57" s="215">
        <f t="shared" si="2"/>
        <v>5.5409111546125015E-3</v>
      </c>
      <c r="C57" s="33">
        <f t="shared" si="5"/>
        <v>0.99984089140984245</v>
      </c>
      <c r="D57" s="33">
        <f t="shared" si="6"/>
        <v>1.9133021575548319</v>
      </c>
      <c r="E57" s="33">
        <f t="shared" si="7"/>
        <v>4.1327538123453723E-2</v>
      </c>
      <c r="F57" s="216">
        <f t="shared" si="3"/>
        <v>5.3112076001502161E-2</v>
      </c>
      <c r="G57" s="217">
        <f t="shared" si="4"/>
        <v>9.557319109165366E-7</v>
      </c>
    </row>
    <row r="58" spans="1:12" x14ac:dyDescent="0.15">
      <c r="A58" s="57">
        <v>3.8</v>
      </c>
      <c r="B58" s="215">
        <f t="shared" si="2"/>
        <v>3.0259888039907727E-3</v>
      </c>
      <c r="C58" s="33">
        <f t="shared" si="5"/>
        <v>0.99992765195607491</v>
      </c>
      <c r="D58" s="33">
        <f t="shared" si="6"/>
        <v>1.9162633885301004</v>
      </c>
      <c r="E58" s="33">
        <f t="shared" si="7"/>
        <v>1.9717943532925386E-2</v>
      </c>
      <c r="F58" s="216">
        <f t="shared" si="3"/>
        <v>3.9932420559702426E-2</v>
      </c>
      <c r="G58" s="217">
        <f t="shared" si="4"/>
        <v>2.7681107989885252E-7</v>
      </c>
    </row>
    <row r="59" spans="1:12" x14ac:dyDescent="0.15">
      <c r="A59" s="57">
        <v>4</v>
      </c>
      <c r="B59" s="215">
        <f t="shared" si="2"/>
        <v>1.5877483417014425E-3</v>
      </c>
      <c r="C59" s="33">
        <f t="shared" si="5"/>
        <v>0.99996832875816688</v>
      </c>
      <c r="D59" s="33">
        <f t="shared" si="6"/>
        <v>1.9192246195053686</v>
      </c>
      <c r="E59" s="33">
        <f t="shared" si="7"/>
        <v>9.0388238460702968E-3</v>
      </c>
      <c r="F59" s="216">
        <f t="shared" si="3"/>
        <v>2.9462346344928857E-2</v>
      </c>
      <c r="G59" s="217">
        <f t="shared" si="4"/>
        <v>7.5758577184765505E-8</v>
      </c>
    </row>
    <row r="60" spans="1:12" x14ac:dyDescent="0.15">
      <c r="A60" s="57">
        <v>4.2</v>
      </c>
      <c r="B60" s="215">
        <f t="shared" si="2"/>
        <v>8.0043162553727041E-4</v>
      </c>
      <c r="C60" s="33">
        <f t="shared" si="5"/>
        <v>0.9999866542509841</v>
      </c>
      <c r="D60" s="33">
        <f t="shared" si="6"/>
        <v>1.9221858504806371</v>
      </c>
      <c r="E60" s="33">
        <f t="shared" si="7"/>
        <v>3.9809841413129274E-3</v>
      </c>
      <c r="F60" s="216">
        <f t="shared" si="3"/>
        <v>2.1331350890243586E-2</v>
      </c>
      <c r="G60" s="217">
        <f t="shared" si="4"/>
        <v>1.9592105329826058E-8</v>
      </c>
    </row>
    <row r="61" spans="1:12" x14ac:dyDescent="0.15">
      <c r="A61" s="57">
        <v>4.4000000000000004</v>
      </c>
      <c r="B61" s="215">
        <f t="shared" si="2"/>
        <v>3.876993134857232E-4</v>
      </c>
      <c r="C61" s="33">
        <f t="shared" si="5"/>
        <v>0.99999458745609227</v>
      </c>
      <c r="D61" s="33">
        <f t="shared" si="6"/>
        <v>1.9251470814559055</v>
      </c>
      <c r="E61" s="33">
        <f t="shared" si="7"/>
        <v>1.6846015389118726E-3</v>
      </c>
      <c r="F61" s="216">
        <f t="shared" si="3"/>
        <v>1.515579505138461E-2</v>
      </c>
      <c r="G61" s="217">
        <f t="shared" si="4"/>
        <v>4.7877488604753795E-9</v>
      </c>
    </row>
    <row r="62" spans="1:12" x14ac:dyDescent="0.15">
      <c r="A62" s="57">
        <v>4.5999999999999996</v>
      </c>
      <c r="B62" s="215">
        <f t="shared" si="2"/>
        <v>1.8042389126041695E-4</v>
      </c>
      <c r="C62" s="33">
        <f t="shared" si="5"/>
        <v>0.9999978875452975</v>
      </c>
      <c r="D62" s="33">
        <f t="shared" si="6"/>
        <v>1.9281083124311738</v>
      </c>
      <c r="E62" s="33">
        <f t="shared" si="7"/>
        <v>6.8490787447391874E-4</v>
      </c>
      <c r="F62" s="216">
        <f t="shared" si="3"/>
        <v>1.0566920080278958E-2</v>
      </c>
      <c r="G62" s="217">
        <f t="shared" si="4"/>
        <v>1.1055606524813212E-9</v>
      </c>
    </row>
    <row r="63" spans="1:12" x14ac:dyDescent="0.15">
      <c r="A63" s="57">
        <v>4.8</v>
      </c>
      <c r="B63" s="215">
        <f t="shared" si="2"/>
        <v>8.0671713019872814E-5</v>
      </c>
      <c r="C63" s="33">
        <f t="shared" si="5"/>
        <v>0.99999920667184805</v>
      </c>
      <c r="D63" s="33">
        <f t="shared" si="6"/>
        <v>1.9310695434064422</v>
      </c>
      <c r="E63" s="33">
        <f t="shared" si="7"/>
        <v>2.6754408042574602E-4</v>
      </c>
      <c r="F63" s="216">
        <f t="shared" si="3"/>
        <v>7.2298195318443378E-3</v>
      </c>
      <c r="G63" s="217">
        <f t="shared" si="4"/>
        <v>2.4123190295298556E-10</v>
      </c>
    </row>
    <row r="64" spans="1:12" x14ac:dyDescent="0.15">
      <c r="A64" s="57">
        <v>5</v>
      </c>
      <c r="B64" s="215">
        <f t="shared" si="2"/>
        <v>3.4655864240789359E-5</v>
      </c>
      <c r="C64" s="33">
        <f t="shared" si="5"/>
        <v>0.99999971334842808</v>
      </c>
      <c r="D64" s="33">
        <f t="shared" si="6"/>
        <v>1.9340307743817107</v>
      </c>
      <c r="E64" s="33">
        <f t="shared" si="7"/>
        <v>1.0041226281577069E-4</v>
      </c>
      <c r="F64" s="216">
        <f t="shared" si="3"/>
        <v>4.8541794305276345E-3</v>
      </c>
      <c r="G64" s="217">
        <f t="shared" si="4"/>
        <v>4.9737948615927E-11</v>
      </c>
    </row>
    <row r="65" spans="1:7" x14ac:dyDescent="0.15">
      <c r="A65" s="57">
        <v>5.2</v>
      </c>
      <c r="B65" s="215">
        <f t="shared" si="2"/>
        <v>1.4304095764003314E-5</v>
      </c>
      <c r="C65" s="33">
        <f t="shared" si="5"/>
        <v>0.99999990035573683</v>
      </c>
      <c r="D65" s="33">
        <f t="shared" si="6"/>
        <v>1.9369920053569789</v>
      </c>
      <c r="E65" s="33">
        <f t="shared" si="7"/>
        <v>3.6208153902698002E-5</v>
      </c>
      <c r="F65" s="216">
        <f t="shared" si="3"/>
        <v>3.1982582543928235E-3</v>
      </c>
      <c r="G65" s="217">
        <f t="shared" si="4"/>
        <v>9.6904055555599663E-12</v>
      </c>
    </row>
    <row r="66" spans="1:7" x14ac:dyDescent="0.15">
      <c r="A66" s="57">
        <v>5.4</v>
      </c>
      <c r="B66" s="215">
        <f t="shared" si="2"/>
        <v>5.6724712716547116E-6</v>
      </c>
      <c r="C66" s="33">
        <f t="shared" si="5"/>
        <v>0.99999996667955149</v>
      </c>
      <c r="D66" s="33">
        <f t="shared" si="6"/>
        <v>1.9399532363322474</v>
      </c>
      <c r="E66" s="33">
        <f t="shared" si="7"/>
        <v>1.2544525300914304E-5</v>
      </c>
      <c r="F66" s="216">
        <f t="shared" si="3"/>
        <v>2.0678573133370969E-3</v>
      </c>
      <c r="G66" s="217">
        <f t="shared" si="4"/>
        <v>1.7840088085327191E-12</v>
      </c>
    </row>
    <row r="67" spans="1:7" x14ac:dyDescent="0.15">
      <c r="A67" s="57">
        <v>5.6</v>
      </c>
      <c r="B67" s="215">
        <f t="shared" si="2"/>
        <v>2.161286903646132E-6</v>
      </c>
      <c r="C67" s="33">
        <f t="shared" si="5"/>
        <v>0.99999998928240974</v>
      </c>
      <c r="D67" s="33">
        <f t="shared" si="6"/>
        <v>1.9429144673075156</v>
      </c>
      <c r="E67" s="33">
        <f t="shared" si="7"/>
        <v>4.1757097313935463E-6</v>
      </c>
      <c r="F67" s="216">
        <f t="shared" si="3"/>
        <v>1.3120093857856196E-3</v>
      </c>
      <c r="G67" s="217">
        <f t="shared" si="4"/>
        <v>3.1035088835365892E-13</v>
      </c>
    </row>
    <row r="68" spans="1:7" x14ac:dyDescent="0.15">
      <c r="A68" s="57">
        <v>5.8</v>
      </c>
      <c r="B68" s="215">
        <f t="shared" si="2"/>
        <v>7.9118994512094709E-7</v>
      </c>
      <c r="C68" s="33">
        <f t="shared" si="5"/>
        <v>0.99999999668425399</v>
      </c>
      <c r="D68" s="33">
        <f t="shared" si="6"/>
        <v>1.9458756982827841</v>
      </c>
      <c r="E68" s="33">
        <f t="shared" si="7"/>
        <v>1.3354714016830544E-6</v>
      </c>
      <c r="F68" s="216">
        <f t="shared" si="3"/>
        <v>8.1688825233093272E-4</v>
      </c>
      <c r="G68" s="217">
        <f t="shared" si="4"/>
        <v>5.1016416389135184E-14</v>
      </c>
    </row>
    <row r="69" spans="1:7" x14ac:dyDescent="0.15">
      <c r="A69" s="59">
        <v>6</v>
      </c>
      <c r="B69" s="218">
        <f t="shared" si="2"/>
        <v>2.7827700311479335E-7</v>
      </c>
      <c r="C69" s="36">
        <f t="shared" si="5"/>
        <v>0.9999999990134123</v>
      </c>
      <c r="D69" s="36">
        <f t="shared" si="6"/>
        <v>1.9488369292580525</v>
      </c>
      <c r="E69" s="36">
        <f t="shared" si="7"/>
        <v>4.1036196774704062E-7</v>
      </c>
      <c r="F69" s="219">
        <f t="shared" si="3"/>
        <v>4.9911163509227825E-4</v>
      </c>
      <c r="G69" s="47">
        <f t="shared" si="4"/>
        <v>7.924426867101814E-15</v>
      </c>
    </row>
  </sheetData>
  <sheetProtection sheet="1" objects="1" scenarios="1"/>
  <phoneticPr fontId="0" type="noConversion"/>
  <pageMargins left="0.75" right="0.75" top="1" bottom="1" header="0.5" footer="0.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65"/>
  <sheetViews>
    <sheetView showGridLines="0" tabSelected="1" topLeftCell="A49" workbookViewId="0">
      <selection activeCell="D55" sqref="D55"/>
    </sheetView>
  </sheetViews>
  <sheetFormatPr defaultColWidth="9.16796875" defaultRowHeight="12.75" x14ac:dyDescent="0.15"/>
  <cols>
    <col min="1" max="1" width="6.47265625" style="231" customWidth="1"/>
    <col min="2" max="2" width="91.16015625" style="231" customWidth="1"/>
    <col min="3" max="16384" width="9.16796875" style="231"/>
  </cols>
  <sheetData>
    <row r="2" spans="2:2" ht="14.25" x14ac:dyDescent="0.15">
      <c r="B2" s="233" t="s">
        <v>133</v>
      </c>
    </row>
    <row r="4" spans="2:2" x14ac:dyDescent="0.15">
      <c r="B4" s="232" t="s">
        <v>134</v>
      </c>
    </row>
    <row r="6" spans="2:2" ht="46.5" x14ac:dyDescent="0.15">
      <c r="B6" s="231" t="s">
        <v>157</v>
      </c>
    </row>
    <row r="8" spans="2:2" ht="35.25" x14ac:dyDescent="0.15">
      <c r="B8" s="231" t="s">
        <v>158</v>
      </c>
    </row>
    <row r="10" spans="2:2" ht="35.25" x14ac:dyDescent="0.15">
      <c r="B10" s="231" t="s">
        <v>159</v>
      </c>
    </row>
    <row r="12" spans="2:2" x14ac:dyDescent="0.15">
      <c r="B12" s="232" t="s">
        <v>135</v>
      </c>
    </row>
    <row r="14" spans="2:2" ht="35.25" x14ac:dyDescent="0.15">
      <c r="B14" s="231" t="s">
        <v>136</v>
      </c>
    </row>
    <row r="16" spans="2:2" ht="24" x14ac:dyDescent="0.15">
      <c r="B16" s="231" t="s">
        <v>160</v>
      </c>
    </row>
    <row r="18" spans="2:2" ht="24" x14ac:dyDescent="0.15">
      <c r="B18" s="231" t="s">
        <v>161</v>
      </c>
    </row>
    <row r="20" spans="2:2" ht="58.5" x14ac:dyDescent="0.15">
      <c r="B20" s="231" t="s">
        <v>137</v>
      </c>
    </row>
    <row r="22" spans="2:2" x14ac:dyDescent="0.15">
      <c r="B22" s="232" t="s">
        <v>138</v>
      </c>
    </row>
    <row r="24" spans="2:2" ht="46.5" x14ac:dyDescent="0.15">
      <c r="B24" s="231" t="s">
        <v>139</v>
      </c>
    </row>
    <row r="26" spans="2:2" ht="13.5" thickBot="1" x14ac:dyDescent="0.2"/>
    <row r="27" spans="2:2" x14ac:dyDescent="0.15">
      <c r="B27" s="234" t="s">
        <v>162</v>
      </c>
    </row>
    <row r="28" spans="2:2" ht="14.25" x14ac:dyDescent="0.15">
      <c r="B28" s="235" t="s">
        <v>5</v>
      </c>
    </row>
    <row r="29" spans="2:2" x14ac:dyDescent="0.15">
      <c r="B29" s="236"/>
    </row>
    <row r="30" spans="2:2" x14ac:dyDescent="0.15">
      <c r="B30" s="236" t="s">
        <v>6</v>
      </c>
    </row>
    <row r="31" spans="2:2" x14ac:dyDescent="0.15">
      <c r="B31" s="236"/>
    </row>
    <row r="32" spans="2:2" x14ac:dyDescent="0.15">
      <c r="B32" s="236" t="s">
        <v>7</v>
      </c>
    </row>
    <row r="33" spans="2:2" x14ac:dyDescent="0.15">
      <c r="B33" s="236"/>
    </row>
    <row r="34" spans="2:2" x14ac:dyDescent="0.15">
      <c r="B34" s="236" t="s">
        <v>140</v>
      </c>
    </row>
    <row r="35" spans="2:2" x14ac:dyDescent="0.15">
      <c r="B35" s="236"/>
    </row>
    <row r="36" spans="2:2" x14ac:dyDescent="0.15">
      <c r="B36" s="236" t="s">
        <v>141</v>
      </c>
    </row>
    <row r="37" spans="2:2" x14ac:dyDescent="0.15">
      <c r="B37" s="236" t="s">
        <v>142</v>
      </c>
    </row>
    <row r="38" spans="2:2" x14ac:dyDescent="0.15">
      <c r="B38" s="236" t="s">
        <v>143</v>
      </c>
    </row>
    <row r="39" spans="2:2" x14ac:dyDescent="0.15">
      <c r="B39" s="236" t="s">
        <v>144</v>
      </c>
    </row>
    <row r="40" spans="2:2" x14ac:dyDescent="0.15">
      <c r="B40" s="236" t="s">
        <v>145</v>
      </c>
    </row>
    <row r="41" spans="2:2" x14ac:dyDescent="0.15">
      <c r="B41" s="236" t="s">
        <v>146</v>
      </c>
    </row>
    <row r="42" spans="2:2" x14ac:dyDescent="0.15">
      <c r="B42" s="236"/>
    </row>
    <row r="43" spans="2:2" x14ac:dyDescent="0.15">
      <c r="B43" s="236" t="s">
        <v>147</v>
      </c>
    </row>
    <row r="44" spans="2:2" x14ac:dyDescent="0.15">
      <c r="B44" s="236"/>
    </row>
    <row r="45" spans="2:2" x14ac:dyDescent="0.15">
      <c r="B45" s="236" t="s">
        <v>148</v>
      </c>
    </row>
    <row r="46" spans="2:2" x14ac:dyDescent="0.15">
      <c r="B46" s="236" t="s">
        <v>149</v>
      </c>
    </row>
    <row r="47" spans="2:2" x14ac:dyDescent="0.15">
      <c r="B47" s="236"/>
    </row>
    <row r="48" spans="2:2" x14ac:dyDescent="0.15">
      <c r="B48" s="236"/>
    </row>
    <row r="49" spans="2:2" x14ac:dyDescent="0.15">
      <c r="B49" s="236" t="s">
        <v>150</v>
      </c>
    </row>
    <row r="50" spans="2:2" x14ac:dyDescent="0.15">
      <c r="B50" s="236"/>
    </row>
    <row r="51" spans="2:2" x14ac:dyDescent="0.15">
      <c r="B51" s="236" t="s">
        <v>4</v>
      </c>
    </row>
    <row r="52" spans="2:2" x14ac:dyDescent="0.15">
      <c r="B52" s="236"/>
    </row>
    <row r="53" spans="2:2" x14ac:dyDescent="0.15">
      <c r="B53" s="236"/>
    </row>
    <row r="54" spans="2:2" x14ac:dyDescent="0.15">
      <c r="B54" s="237" t="s">
        <v>151</v>
      </c>
    </row>
    <row r="55" spans="2:2" x14ac:dyDescent="0.15">
      <c r="B55" s="236" t="s">
        <v>152</v>
      </c>
    </row>
    <row r="56" spans="2:2" x14ac:dyDescent="0.15">
      <c r="B56" s="236" t="s">
        <v>153</v>
      </c>
    </row>
    <row r="57" spans="2:2" x14ac:dyDescent="0.15">
      <c r="B57" s="236" t="s">
        <v>154</v>
      </c>
    </row>
    <row r="58" spans="2:2" x14ac:dyDescent="0.15">
      <c r="B58" s="236" t="s">
        <v>155</v>
      </c>
    </row>
    <row r="59" spans="2:2" x14ac:dyDescent="0.15">
      <c r="B59" s="236" t="s">
        <v>156</v>
      </c>
    </row>
    <row r="60" spans="2:2" x14ac:dyDescent="0.15">
      <c r="B60" s="236"/>
    </row>
    <row r="61" spans="2:2" x14ac:dyDescent="0.15">
      <c r="B61" s="236" t="s">
        <v>2</v>
      </c>
    </row>
    <row r="62" spans="2:2" x14ac:dyDescent="0.15">
      <c r="B62" s="236" t="s">
        <v>3</v>
      </c>
    </row>
    <row r="63" spans="2:2" x14ac:dyDescent="0.15">
      <c r="B63" s="236" t="s">
        <v>1</v>
      </c>
    </row>
    <row r="64" spans="2:2" x14ac:dyDescent="0.15">
      <c r="B64" s="236" t="s">
        <v>0</v>
      </c>
    </row>
    <row r="65" spans="2:2" ht="13.5" thickBot="1" x14ac:dyDescent="0.2">
      <c r="B65" s="238"/>
    </row>
  </sheetData>
  <sheetProtection password="D857" sheet="1" objects="1" scenarios="1"/>
  <phoneticPr fontId="0" type="noConversion"/>
  <pageMargins left="0.75" right="0.75" top="1" bottom="1" header="0.5" footer="0.5"/>
  <pageSetup paperSize="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Worksheets</vt:lpstr>
      </vt:variant>
      <vt:variant>
        <vt:i4>3</vt:i4>
      </vt:variant>
    </vt:vector>
  </HeadingPairs>
  <TitlesOfParts>
    <vt:vector size="3" baseType="lpstr">
      <vt:lpstr>1-D Stack</vt:lpstr>
      <vt:lpstr>Chart Data</vt:lpstr>
      <vt:lpstr>License Agreement</vt:lpstr>
    </vt:vector>
  </TitlesOfParts>
  <Company>BYU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Chase</dc:creator>
  <cp:lastModifiedBy>Microsoft Office User</cp:lastModifiedBy>
  <cp:lastPrinted>2001-07-09T21:42:10Z</cp:lastPrinted>
  <dcterms:created xsi:type="dcterms:W3CDTF">2001-05-16T04:52:25Z</dcterms:created>
  <dcterms:modified xsi:type="dcterms:W3CDTF">2016-12-18T21:57:42Z</dcterms:modified>
</cp:coreProperties>
</file>